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omments2.xml" ContentType="application/vnd.openxmlformats-officedocument.spreadsheetml.comments+xml"/>
  <Override PartName="/xl/customProperty4.bin" ContentType="application/vnd.openxmlformats-officedocument.spreadsheetml.customProperty"/>
  <Override PartName="/xl/comments3.xml" ContentType="application/vnd.openxmlformats-officedocument.spreadsheetml.comments+xml"/>
  <Override PartName="/xl/customProperty5.bin" ContentType="application/vnd.openxmlformats-officedocument.spreadsheetml.customProperty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ustomProperty6.bin" ContentType="application/vnd.openxmlformats-officedocument.spreadsheetml.customProperty"/>
  <Override PartName="/xl/comments6.xml" ContentType="application/vnd.openxmlformats-officedocument.spreadsheetml.comments+xml"/>
  <Override PartName="/xl/customProperty7.bin" ContentType="application/vnd.openxmlformats-officedocument.spreadsheetml.customProperty"/>
  <Override PartName="/xl/comments7.xml" ContentType="application/vnd.openxmlformats-officedocument.spreadsheetml.comments+xml"/>
  <Override PartName="/xl/customProperty8.bin" ContentType="application/vnd.openxmlformats-officedocument.spreadsheetml.customProperty"/>
  <Override PartName="/xl/comments8.xml" ContentType="application/vnd.openxmlformats-officedocument.spreadsheetml.comments+xml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omments9.xml" ContentType="application/vnd.openxmlformats-officedocument.spreadsheetml.comments+xml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codeName="ThisWorkbook" defaultThemeVersion="124226"/>
  <bookViews>
    <workbookView xWindow="20520" yWindow="165" windowWidth="20730" windowHeight="11760" tabRatio="887" activeTab="2"/>
  </bookViews>
  <sheets>
    <sheet name="Monthly Report " sheetId="1" r:id="rId1"/>
    <sheet name="Yield (Kae)" sheetId="48" state="hidden" r:id="rId2"/>
    <sheet name="Year 2019 Summary " sheetId="2" r:id="rId3"/>
    <sheet name="%Load daily" sheetId="5" state="hidden" r:id="rId4"/>
    <sheet name="Raw Material" sheetId="6" r:id="rId5"/>
    <sheet name="31 Dec 19 Holdup" sheetId="50" r:id="rId6"/>
    <sheet name="BPA Product " sheetId="7" r:id="rId7"/>
    <sheet name="Downtime" sheetId="35" state="hidden" r:id="rId8"/>
    <sheet name="BPA WH&lt;1&gt;" sheetId="23" r:id="rId9"/>
    <sheet name="PPCL By Product" sheetId="10" r:id="rId10"/>
    <sheet name="Chem" sheetId="36" state="hidden" r:id="rId11"/>
    <sheet name="Utility (meter)" sheetId="34" state="hidden" r:id="rId12"/>
    <sheet name="for ACCT AP" sheetId="39" state="hidden" r:id="rId13"/>
    <sheet name="For Accounting" sheetId="40" r:id="rId14"/>
    <sheet name="Back up" sheetId="41" state="hidden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___ck1" hidden="1">[1]บอร์ด!$G$6:$G$35</definedName>
    <definedName name="____ck2" hidden="1">[1]บอร์ด!$E$6:$E$35</definedName>
    <definedName name="____ck3" hidden="1">[1]บอร์ด!$F$6:$F$35</definedName>
    <definedName name="___ck1" hidden="1">[1]บอร์ด!$G$6:$G$35</definedName>
    <definedName name="___ck2" hidden="1">[1]บอร์ด!$E$6:$E$35</definedName>
    <definedName name="___ck3" hidden="1">[1]บอร์ด!$F$6:$F$35</definedName>
    <definedName name="__123Graph_A" hidden="1">[2]Sheet1!$E$6:$E$35</definedName>
    <definedName name="__123Graph_ASAM" hidden="1">[3]PCONTROL!$D$7:$D$37</definedName>
    <definedName name="__123Graph_B" hidden="1">[4]EFF1!$K$43:$K$72</definedName>
    <definedName name="__123Graph_C" hidden="1">[4]EFF1!$H$43:$H$43</definedName>
    <definedName name="__123Graph_LBL_A" localSheetId="5" hidden="1">'[4]EI-HIS4'!#REF!</definedName>
    <definedName name="__123Graph_LBL_A" localSheetId="7" hidden="1">'[4]EI-HIS4'!#REF!</definedName>
    <definedName name="__123Graph_LBL_A" hidden="1">'[4]EI-HIS4'!#REF!</definedName>
    <definedName name="__123Graph_LBL_B" hidden="1">[4]EFF1!$K$43:$K$43</definedName>
    <definedName name="__123Graph_LBL_C" hidden="1">[2]Sheet1!$G$6:$G$35</definedName>
    <definedName name="__123Graph_X" hidden="1">[2]Sheet1!$A$6:$A$35</definedName>
    <definedName name="__123Graph_XSAM" hidden="1">[3]PCONTROL!$A$7:$A$37</definedName>
    <definedName name="__ck1" hidden="1">[1]บอร์ด!$G$6:$G$35</definedName>
    <definedName name="__ck2" hidden="1">[1]บอร์ด!$E$6:$E$35</definedName>
    <definedName name="__ck3" hidden="1">[1]บอร์ด!$F$6:$F$35</definedName>
    <definedName name="_1__123Graph_AEFF_MONT" hidden="1">'[4]EI-HIS4'!$M$10:$M$39</definedName>
    <definedName name="_10__123Graph_LBL_AEFF_MONT" localSheetId="5" hidden="1">'[4]EI-HIS4'!#REF!</definedName>
    <definedName name="_10__123Graph_LBL_AEFF_MONT" hidden="1">'[4]EI-HIS4'!#REF!</definedName>
    <definedName name="_12__123Graph_LBL_AMEM_LIFE" localSheetId="5" hidden="1">'[4]EI-HIS4'!#REF!</definedName>
    <definedName name="_12__123Graph_LBL_AMEM_LIFE" hidden="1">'[4]EI-HIS4'!#REF!</definedName>
    <definedName name="_13__123Graph_LBL_BEFF_MONT" hidden="1">'[4]EI-HIS4'!$R$37:$R$37</definedName>
    <definedName name="_14__123Graph_LBL_BMEM_LIFE" hidden="1">'[4]EI-HIS4'!$R$8:$R$8</definedName>
    <definedName name="_15__123Graph_XEFF_MONT" hidden="1">'[4]EI-HIS4'!$A$10:$A$39</definedName>
    <definedName name="_16__123Graph_XMEM_LIFE" hidden="1">'[4]EI-HIS4'!$A$10:$A$39</definedName>
    <definedName name="_2__123Graph_AMEM_LIFE" hidden="1">'[4]EI-HIS4'!$T$8:$T$37</definedName>
    <definedName name="_3__123Graph_BEFF_MONT" hidden="1">'[4]EI-HIS4'!$R$8:$R$37</definedName>
    <definedName name="_4__123Graph_BMEM_LIFE" hidden="1">'[4]EI-HIS4'!$U$8:$U$37</definedName>
    <definedName name="_6__123Graph_EELE_DATA" localSheetId="5" hidden="1">[5]Sheet1!#REF!</definedName>
    <definedName name="_6__123Graph_EELE_DATA" hidden="1">[5]Sheet1!#REF!</definedName>
    <definedName name="_8__123Graph_FELE_DATA" localSheetId="5" hidden="1">[5]Sheet1!#REF!</definedName>
    <definedName name="_8__123Graph_FELE_DATA" hidden="1">[5]Sheet1!#REF!</definedName>
    <definedName name="_ck1" hidden="1">[1]บอร์ด!$G$6:$G$35</definedName>
    <definedName name="_ck2" hidden="1">[1]บอร์ด!$E$6:$E$35</definedName>
    <definedName name="_ck3" hidden="1">[1]บอร์ด!$F$6:$F$35</definedName>
    <definedName name="_Fill" hidden="1">[2]Sheet1!$A$6:$A$37</definedName>
    <definedName name="_xlnm._FilterDatabase" localSheetId="7" hidden="1">Downtime!$A$2:$M$78</definedName>
    <definedName name="_Order1" hidden="1">0</definedName>
    <definedName name="_Order2" hidden="1">255</definedName>
    <definedName name="a" localSheetId="5" hidden="1">'[4]EI-HIS4'!#REF!</definedName>
    <definedName name="a" localSheetId="7">OFFSET(#REF!,0,0,COUNT(#REF!),1)</definedName>
    <definedName name="a" hidden="1">'[4]EI-HIS4'!#REF!</definedName>
    <definedName name="aa" localSheetId="7">'[6]Retreive Raw data'!#REF!</definedName>
    <definedName name="AC" localSheetId="5">'[7]MONTLY REPORT (P.1)'!$AC$10:$AC$21</definedName>
    <definedName name="AC" localSheetId="1">'[8]MONTHLY REPORT (PH1)'!$AG$7:$AG$18</definedName>
    <definedName name="AC">'[7]MONTLY REPORT (P.1)'!$AC$10:$AC$21</definedName>
    <definedName name="Accru_Day" localSheetId="5">'[9]Year 2019 Summary '!$C$23:$N$23</definedName>
    <definedName name="Accru_Day">'Year 2019 Summary '!$C$23:$N$23</definedName>
    <definedName name="Act_Accrday" localSheetId="5">'[9]Year 2019 Summary '!$C$26:$N$26</definedName>
    <definedName name="Act_Accrday">'Year 2019 Summary '!$C$26:$N$26</definedName>
    <definedName name="b" localSheetId="7">OFFSET(#REF!,0,0,COUNT(#REF!),1)</definedName>
    <definedName name="BFW_Bills" localSheetId="5">'[10] Table summary (P.2)'!$F$38:$Q$38</definedName>
    <definedName name="BFW_Bills" localSheetId="1">'[8] Table summary (PH1)'!$H$45:$S$45</definedName>
    <definedName name="BFW_Bills">'[10] Table summary (P.2)'!$F$38:$Q$38</definedName>
    <definedName name="BFW_CAPEX_P" localSheetId="5">'[10] Table summary (P.2)'!$F$44:$Q$44</definedName>
    <definedName name="BFW_CAPEX_P" localSheetId="1">'[8] Table summary (PH1)'!$H$51:$S$51</definedName>
    <definedName name="BFW_CAPEX_P">'[10] Table summary (P.2)'!$F$44:$Q$44</definedName>
    <definedName name="BFW_CAPEX_Q" localSheetId="5">'[10] Table summary (P.2)'!$F$41:$Q$41</definedName>
    <definedName name="BFW_CAPEX_Q" localSheetId="1">'[8] Table summary (PH1)'!$H$48:$S$48</definedName>
    <definedName name="BFW_CAPEX_Q">'[10] Table summary (P.2)'!$F$41:$Q$41</definedName>
    <definedName name="BG" localSheetId="5">'[11]BPA Product '!$B$5,'[11]BPA Product '!$D$5,'[11]BPA Product '!$I$5</definedName>
    <definedName name="BG">'[11]BPA Product '!$B$5,'[11]BPA Product '!$D$5,'[11]BPA Product '!$I$5</definedName>
    <definedName name="BillBFW" localSheetId="5">'[12]31 Jan 19 of Holdup'!$C$39:$N$39</definedName>
    <definedName name="BillBFW">'Year 2019 Summary '!$C$55:$N$55</definedName>
    <definedName name="BillCLW" localSheetId="5">'[12]31 Jan 19 of Holdup'!$C$42:$N$42</definedName>
    <definedName name="BillCLW">'Year 2019 Summary '!$C$59:$N$59</definedName>
    <definedName name="BillDW" localSheetId="5">'[12]31 Jan 19 of Holdup'!$C$36:$N$36</definedName>
    <definedName name="BillDW">'Year 2019 Summary '!$C$50:$N$50</definedName>
    <definedName name="BillN2" localSheetId="5">'[12]31 Jan 19 of Holdup'!$C$45:$N$45</definedName>
    <definedName name="BillN2">'Year 2019 Summary '!$C$65:$N$65</definedName>
    <definedName name="BillPWR" localSheetId="5">'[12]31 Jan 19 of Holdup'!$C$49:$N$49</definedName>
    <definedName name="BillPWR">'Year 2019 Summary '!$C$72:$N$72</definedName>
    <definedName name="BillS17" localSheetId="5">'[12]31 Jan 19 of Holdup'!$C$32:$N$32</definedName>
    <definedName name="BillS17">'Year 2019 Summary '!$C$44:$N$44</definedName>
    <definedName name="BillS40" localSheetId="5">'[12]31 Jan 19 of Holdup'!$C$29:$N$29</definedName>
    <definedName name="BillS40">'Year 2019 Summary '!$C$39:$N$39</definedName>
    <definedName name="BzDIPB" localSheetId="5">'[7]MONTLY REPORT (P.1)'!$AF$10:$AF$21</definedName>
    <definedName name="BzDIPB">'[7]MONTLY REPORT (P.1)'!$AF$10:$AF$21</definedName>
    <definedName name="Caldr">'Year 2019 Summary '!$C$8:$N$8</definedName>
    <definedName name="CBWorkbookPriority" hidden="1">-925874912</definedName>
    <definedName name="cc" localSheetId="5">'[13]DropDown List'!$I$2:$I$13</definedName>
    <definedName name="cc">'[13]DropDown List'!$I$2:$I$13</definedName>
    <definedName name="cctr" localSheetId="5">'[14]Selection obj'!$K$2:$K$374</definedName>
    <definedName name="cctr">'[14]Selection obj'!$K$2:$K$374</definedName>
    <definedName name="Ch_GI_GR" localSheetId="5">'[12]30 Nov 19 Holdup'!$C$3:$D$30,'[12]30 Nov 19 Holdup'!$H$3:$I$30,'[12]30 Nov 19 Holdup'!#REF!,'[12]30 Nov 19 Holdup'!#REF!,'[12]30 Nov 19 Holdup'!$M$3:$N$30,'[12]30 Nov 19 Holdup'!$R$3:$S$30,'[12]30 Nov 19 Holdup'!$W$3:$X$30,'[12]30 Nov 19 Holdup'!$AB$3:$AC$30,'[12]30 Nov 19 Holdup'!$AG$3:$AH$30</definedName>
    <definedName name="Ch_GI_GR" localSheetId="1">[8]Chem!#REF!,[8]Chem!#REF!,[8]Chem!#REF!,[8]Chem!$D$3:$E$30,[8]Chem!$Q$3:$R$30,[8]Chem!$W$3:$X$30,[8]Chem!$AC$3:$AD$30,[8]Chem!$AI$3:$AJ$30,[8]Chem!$AO$3:$AP$30</definedName>
    <definedName name="Ch_GI_GR">[12]Chem!$C$3:$D$30,[12]Chem!$H$3:$I$30,[12]Chem!#REF!,[12]Chem!#REF!,[12]Chem!$M$3:$N$30,[12]Chem!$R$3:$S$30,[12]Chem!$W$3:$X$30,[12]Chem!$AB$3:$AC$30,[12]Chem!$AG$3:$AH$30</definedName>
    <definedName name="ck" hidden="1">[1]บอร์ด!$F$6:$F$35</definedName>
    <definedName name="CLW_CAPEX_P" localSheetId="5">'[10] Table summary (P.2)'!$F$53:$Q$53</definedName>
    <definedName name="CLW_CAPEX_P" localSheetId="1">'[8] Table summary (PH1)'!$H$60:$S$60</definedName>
    <definedName name="CLW_CAPEX_P">'[10] Table summary (P.2)'!$F$53:$Q$53</definedName>
    <definedName name="CLW_CAPEX_Q" localSheetId="5">'[10] Table summary (P.2)'!$F$50:$Q$50</definedName>
    <definedName name="CLW_CAPEX_Q" localSheetId="1">'[8] Table summary (PH1)'!$H$57:$S$57</definedName>
    <definedName name="CLW_CAPEX_Q">'[10] Table summary (P.2)'!$F$50:$Q$50</definedName>
    <definedName name="CLW_PHI">'Year 2019 Summary '!$C$63:$N$63</definedName>
    <definedName name="CLW_PHI_to" localSheetId="5">'[9]Year 2019 Summary '!$C$64:$N$64</definedName>
    <definedName name="CLW_PHI_to">'Year 2019 Summary '!$C$64:$N$64</definedName>
    <definedName name="CLW_PHII" localSheetId="5">'[10] Table summary (P.2)'!$F$54:$Q$54</definedName>
    <definedName name="CLW_PHII" localSheetId="1">'[8] Table summary (PH1)'!#REF!</definedName>
    <definedName name="CLW_PHII">'[10] Table summary (P.2)'!$F$54:$Q$54</definedName>
    <definedName name="CorporateRiskArea" localSheetId="5">'[15]DropDown List'!$N$2:$N$22</definedName>
    <definedName name="CorporateRiskArea">'[15]DropDown List'!$N$2:$N$22</definedName>
    <definedName name="CPTABFW">'Year 2019 Summary '!$C$57:$N$57</definedName>
    <definedName name="CPTACLW" localSheetId="5">'[9]Year 2019 Summary '!$C$61:$N$61</definedName>
    <definedName name="CPTACLW">'Year 2019 Summary '!$C$61:$N$61</definedName>
    <definedName name="CPTADW" localSheetId="5">'[9]Year 2019 Summary '!$C$52:$N$52</definedName>
    <definedName name="CPTADW">'Year 2019 Summary '!$C$52:$N$52</definedName>
    <definedName name="CPTAN2" localSheetId="5">'[9]Year 2019 Summary '!$C$68:$N$68</definedName>
    <definedName name="CPTAN2">'Year 2019 Summary '!$C$68:$N$68</definedName>
    <definedName name="CPTAPWR" localSheetId="5">'[9]Year 2019 Summary '!$C$74:$N$74</definedName>
    <definedName name="CPTAPWR">'Year 2019 Summary '!$C$74:$N$74</definedName>
    <definedName name="CPTAS17" localSheetId="5">'[9]Year 2019 Summary '!$C$46:$N$46</definedName>
    <definedName name="CPTAS17">'Year 2019 Summary '!$C$46:$N$46</definedName>
    <definedName name="CPTAS40" localSheetId="5">'[9]Year 2019 Summary '!$C$41:$N$41</definedName>
    <definedName name="CPTAS40">'Year 2019 Summary '!$C$41:$N$41</definedName>
    <definedName name="d" localSheetId="7">'[6]Retreive Raw data'!#REF!</definedName>
    <definedName name="datasource" localSheetId="5">'[14]Selection obj'!$G$2:$G$4</definedName>
    <definedName name="datasource">'[14]Selection obj'!$G$2:$G$4</definedName>
    <definedName name="df" hidden="1">'[4]EI-HIS4'!#REF!</definedName>
    <definedName name="end" localSheetId="5">'[11]BPA Product '!$E$36,'[11]BPA Product '!$C$36,'[11]BPA Product '!$J$36</definedName>
    <definedName name="end">'[11]BPA Product '!$E$36,'[11]BPA Product '!$C$36,'[11]BPA Product '!$J$36</definedName>
    <definedName name="freq" localSheetId="5">'[14]Selection obj'!$E$2:$E$5</definedName>
    <definedName name="freq">'[14]Selection obj'!$E$2:$E$5</definedName>
    <definedName name="G" localSheetId="7">OFFSET(#REF!,0,0,COUNT(#REF!),1)</definedName>
    <definedName name="gffg" hidden="1">[1]บอร์ด!$E$6:$E$35</definedName>
    <definedName name="H2_Bills" localSheetId="5">'[10] Table summary (P.2)'!$F$61:$Q$61</definedName>
    <definedName name="H2_Bills" localSheetId="1">'[8] Table summary (PH1)'!$H$75:$S$75</definedName>
    <definedName name="H2_Bills">'[10] Table summary (P.2)'!$F$61:$Q$61</definedName>
    <definedName name="H2_CAPEX_P" localSheetId="5">'[10] Table summary (P.2)'!$F$63:$Q$63</definedName>
    <definedName name="H2_CAPEX_P">'[10] Table summary (P.2)'!$F$63:$Q$63</definedName>
    <definedName name="Hvy_Aro" localSheetId="5">'[7]MONTLY REPORT (P.1)'!$AE$10:$AE$21</definedName>
    <definedName name="Hvy_Aro" localSheetId="1">'[8]MONTHLY REPORT (PH1)'!$AI$7:$AI$18</definedName>
    <definedName name="Hvy_Aro">'[7]MONTLY REPORT (P.1)'!$AE$10:$AE$21</definedName>
    <definedName name="Hvy_Res" localSheetId="5">'[7]MONTLY REPORT (P.1)'!$AD$10:$AD$21</definedName>
    <definedName name="Hvy_Res" localSheetId="1">'[8]MONTHLY REPORT (PH1)'!$AH$7:$AH$18</definedName>
    <definedName name="Hvy_Res">'[7]MONTLY REPORT (P.1)'!$AD$10:$AD$21</definedName>
    <definedName name="Impact" localSheetId="5">'[15]DropDown List'!$D$2:$D$5</definedName>
    <definedName name="Impact">'[15]DropDown List'!$D$2:$D$5</definedName>
    <definedName name="Likelihood" localSheetId="5">'[15]DropDown List'!$E$2:$E$5</definedName>
    <definedName name="Likelihood">'[15]DropDown List'!$E$2:$E$5</definedName>
    <definedName name="N2_CAPEX_P" localSheetId="5">'[10] Table summary (P.2)'!$F$60:$Q$60</definedName>
    <definedName name="N2_CAPEX_P" localSheetId="1">'[8] Table summary (PH1)'!$H$71:$S$71</definedName>
    <definedName name="N2_CAPEX_P">'[10] Table summary (P.2)'!$F$60:$Q$60</definedName>
    <definedName name="N2_CAPEX_Q" localSheetId="5">'[10] Table summary (P.2)'!$F$57:$Q$57</definedName>
    <definedName name="N2_CAPEX_Q" localSheetId="1">'[8] Table summary (PH1)'!$H$68:$S$68</definedName>
    <definedName name="N2_CAPEX_Q">'[10] Table summary (P.2)'!$F$57:$Q$57</definedName>
    <definedName name="N2_PHI" localSheetId="5">'[9]Year 2019 Summary '!$C$69:$N$69</definedName>
    <definedName name="N2_PHI">'Year 2019 Summary '!$C$69:$N$69</definedName>
    <definedName name="NG_Bill" localSheetId="5">'[10] Table summary (P.2)'!$F$64:$Q$64</definedName>
    <definedName name="NG_Bill" localSheetId="1">'[8] Table summary (PH1)'!$H$78:$S$78</definedName>
    <definedName name="NG_Bill">'[10] Table summary (P.2)'!$F$64:$Q$64</definedName>
    <definedName name="NG_CAPEX_P" localSheetId="5">'[10] Table summary (P.2)'!$F$70:$Q$70</definedName>
    <definedName name="NG_CAPEX_P" localSheetId="1">'[8] Table summary (PH1)'!$H$84:$S$84</definedName>
    <definedName name="NG_CAPEX_P">'[10] Table summary (P.2)'!$F$70:$Q$70</definedName>
    <definedName name="NG_CAPEX_Q" localSheetId="5">'[10] Table summary (P.2)'!$F$67:$Q$67</definedName>
    <definedName name="NG_CAPEX_Q" localSheetId="1">'[8] Table summary (PH1)'!$H$81:$S$81</definedName>
    <definedName name="NG_CAPEX_Q">'[10] Table summary (P.2)'!$F$67:$Q$67</definedName>
    <definedName name="off" localSheetId="5">OFFSET('[16]Retreive Raw data'!$V$12,0,0,COUNT('[16]Retreive Raw data'!$V:$V),1)</definedName>
    <definedName name="off" localSheetId="7">OFFSET('[6]Retreive Raw data'!$V$12,0,0,COUNT('[6]Retreive Raw data'!$V:$V),1)</definedName>
    <definedName name="off">OFFSET('[16]Retreive Raw data'!$V$12,0,0,COUNT('[16]Retreive Raw data'!$V:$V),1)</definedName>
    <definedName name="on" localSheetId="5">OFFSET('[16]Retreive Raw data'!$U$12,0,0,COUNT('[16]Retreive Raw data'!$U:$U),1)</definedName>
    <definedName name="on" localSheetId="7">OFFSET('[6]Retreive Raw data'!$U$12,0,0,COUNT('[6]Retreive Raw data'!$U:$U),1)</definedName>
    <definedName name="on">OFFSET('[16]Retreive Raw data'!$U$12,0,0,COUNT('[16]Retreive Raw data'!$U:$U),1)</definedName>
    <definedName name="OPEX_BFW" localSheetId="5">'[12]31 Jan 19 of Holdup'!$C$40:$N$40</definedName>
    <definedName name="OPEX_BFW">'Year 2019 Summary '!$C$56:$N$56</definedName>
    <definedName name="OPEX_CLW" localSheetId="5">'[12]31 Jan 19 of Holdup'!$C$43:$N$43</definedName>
    <definedName name="OPEX_CLW">'Year 2019 Summary '!$C$60:$N$60</definedName>
    <definedName name="OPEX_DW" localSheetId="5">'[12]31 Jan 19 of Holdup'!$C$37:$N$37</definedName>
    <definedName name="OPEX_DW">'Year 2019 Summary '!$C$51:$N$51</definedName>
    <definedName name="OPEX_N2" localSheetId="5">'[12]31 Jan 19 of Holdup'!$C$46:$N$46</definedName>
    <definedName name="OPEX_N2">'Year 2019 Summary '!$C$66:$N$66</definedName>
    <definedName name="OPEX_PWR" localSheetId="5">'[12]31 Jan 19 of Holdup'!$C$50:$N$50</definedName>
    <definedName name="OPEX_PWR">'Year 2019 Summary '!$C$73:$N$73</definedName>
    <definedName name="OPEX_S17" localSheetId="5">'[12]31 Jan 19 of Holdup'!$C$33:$N$33</definedName>
    <definedName name="OPEX_S17">'Year 2019 Summary '!$C$45:$N$45</definedName>
    <definedName name="OPEX_S40" localSheetId="5">'[12]31 Jan 19 of Holdup'!$C$30:$N$30</definedName>
    <definedName name="OPEX_S40">'Year 2019 Summary '!$C$40:$N$40</definedName>
    <definedName name="OPSDBFW">'Year 2019 Summary '!$C$58:$N$58</definedName>
    <definedName name="OPSDCLW" localSheetId="5">'[9]Year 2019 Summary '!$C$62:$N$62</definedName>
    <definedName name="OPSDCLW">'Year 2019 Summary '!$C$62:$N$62</definedName>
    <definedName name="OPSDDW" localSheetId="5">'[9]Year 2019 Summary '!$C$53:$N$53</definedName>
    <definedName name="OPSDDW">'Year 2019 Summary '!$C$53:$N$53</definedName>
    <definedName name="OPSDN2" localSheetId="5">'[9]Year 2019 Summary '!$C$70:$N$70</definedName>
    <definedName name="OPSDN2">'Year 2019 Summary '!$C$70:$N$70</definedName>
    <definedName name="OPSDPW" localSheetId="5">'[9]Year 2019 Summary '!$C$75:$N$75</definedName>
    <definedName name="OPSDPW">'Year 2019 Summary '!$C$75:$N$75</definedName>
    <definedName name="OPSDS17" localSheetId="5">'[9]Year 2019 Summary '!$C$48:$N$48</definedName>
    <definedName name="OPSDS17">'Year 2019 Summary '!$C$48:$N$48</definedName>
    <definedName name="OPSDS40" localSheetId="5">'[9]Year 2019 Summary '!$C$42:$N$42</definedName>
    <definedName name="OPSDS40">'Year 2019 Summary '!$C$42:$N$42</definedName>
    <definedName name="OU" localSheetId="5">'[14]Selection obj'!$I$2:$I$530</definedName>
    <definedName name="OU">'[14]Selection obj'!$I$2:$I$530</definedName>
    <definedName name="Owner" localSheetId="5">'[17]DropDown List'!#REF!</definedName>
    <definedName name="Owner">'[17]DropDown List'!#REF!</definedName>
    <definedName name="Period" localSheetId="5">'[15]DropDown List'!$I$2:$I$13</definedName>
    <definedName name="Period">'[15]DropDown List'!$I$2:$I$13</definedName>
    <definedName name="Perspective" localSheetId="5">'[14]Selection obj'!$A$2:$A$5</definedName>
    <definedName name="Perspective">'[14]Selection obj'!$A$2:$A$5</definedName>
    <definedName name="PH" localSheetId="5">'[7]MONTLY REPORT (P.1)'!$AB$10:$AB$21</definedName>
    <definedName name="PH" localSheetId="1">'[8]MONTHLY REPORT (PH1)'!$AF$7:$AF$18</definedName>
    <definedName name="PH">'[7]MONTLY REPORT (P.1)'!$AB$10:$AB$21</definedName>
    <definedName name="_xlnm.Print_Area" localSheetId="3">'%Load daily'!$A$1:$E$36</definedName>
    <definedName name="_xlnm.Print_Area" localSheetId="9">'PPCL By Product'!$A$1:$M$42</definedName>
    <definedName name="_xlnm.Print_Area" localSheetId="4">'Raw Material'!$A$1:$I$43</definedName>
    <definedName name="_xlnm.Print_Titles" localSheetId="6">'BPA Product '!$A:$A,'BPA Product '!$1:$4</definedName>
    <definedName name="_xlnm.Print_Titles" localSheetId="8">'BPA WH&lt;1&gt;'!$A:$A,'BPA WH&lt;1&gt;'!$2:$4</definedName>
    <definedName name="_xlnm.Print_Titles" localSheetId="10">Chem!$A:$A</definedName>
    <definedName name="PV_Apr12" localSheetId="5">'[6]Retreive Raw data'!#REF!</definedName>
    <definedName name="PV_Apr12" localSheetId="10">'[6]Retreive Raw data'!#REF!</definedName>
    <definedName name="PV_Apr12" localSheetId="7">'[6]Retreive Raw data'!#REF!</definedName>
    <definedName name="PV_Apr12">'[6]Retreive Raw data'!#REF!</definedName>
    <definedName name="PV_Feb12" localSheetId="5">'[6]Retreive Raw data'!#REF!</definedName>
    <definedName name="PV_Feb12" localSheetId="10">'[6]Retreive Raw data'!#REF!</definedName>
    <definedName name="PV_Feb12" localSheetId="7">'[6]Retreive Raw data'!#REF!</definedName>
    <definedName name="PV_Feb12">'[6]Retreive Raw data'!#REF!</definedName>
    <definedName name="PV_Jan12" localSheetId="5">'[6]Retreive Raw data'!#REF!</definedName>
    <definedName name="PV_Jan12" localSheetId="10">'[6]Retreive Raw data'!#REF!</definedName>
    <definedName name="PV_Jan12" localSheetId="7">'[6]Retreive Raw data'!#REF!</definedName>
    <definedName name="PV_Jan12">'[6]Retreive Raw data'!#REF!</definedName>
    <definedName name="PV_Mar12" localSheetId="5">'[6]Retreive Raw data'!#REF!</definedName>
    <definedName name="PV_Mar12" localSheetId="10">'[6]Retreive Raw data'!#REF!</definedName>
    <definedName name="PV_Mar12" localSheetId="7">'[6]Retreive Raw data'!#REF!</definedName>
    <definedName name="PV_Mar12">'[6]Retreive Raw data'!#REF!</definedName>
    <definedName name="PV1_Apr12" localSheetId="5">'[16]Retreive Raw data'!$AN$103:$CD$132</definedName>
    <definedName name="PV1_Apr12" localSheetId="7">'[6]Retreive Raw data'!#REF!</definedName>
    <definedName name="PV1_Apr12">'[16]Retreive Raw data'!$AN$103:$CD$132</definedName>
    <definedName name="PV1_Feb12" localSheetId="5">'[6]Retreive Raw data'!#REF!</definedName>
    <definedName name="PV1_Feb12" localSheetId="10">'[6]Retreive Raw data'!#REF!</definedName>
    <definedName name="PV1_Feb12" localSheetId="7">'[6]Retreive Raw data'!#REF!</definedName>
    <definedName name="PV1_Feb12">'[6]Retreive Raw data'!#REF!</definedName>
    <definedName name="PV1_Jan12" localSheetId="5">'[6]Retreive Raw data'!#REF!</definedName>
    <definedName name="PV1_Jan12" localSheetId="10">'[6]Retreive Raw data'!#REF!</definedName>
    <definedName name="PV1_Jan12" localSheetId="7">'[6]Retreive Raw data'!#REF!</definedName>
    <definedName name="PV1_Jan12">'[6]Retreive Raw data'!#REF!</definedName>
    <definedName name="PV1_Mar12" localSheetId="5">'[6]Retreive Raw data'!#REF!</definedName>
    <definedName name="PV1_Mar12" localSheetId="10">'[6]Retreive Raw data'!#REF!</definedName>
    <definedName name="PV1_Mar12" localSheetId="7">'[6]Retreive Raw data'!#REF!</definedName>
    <definedName name="PV1_Mar12">'[6]Retreive Raw data'!#REF!</definedName>
    <definedName name="PWR_CAPEX_P" localSheetId="5">'[10] Table summary (P.2)'!$F$77:$Q$77</definedName>
    <definedName name="PWR_CAPEX_P" localSheetId="1">'[8] Table summary (PH1)'!$H$92:$S$92</definedName>
    <definedName name="PWR_CAPEX_P">'[10] Table summary (P.2)'!$F$77:$Q$77</definedName>
    <definedName name="PWR_CAPEX_Q" localSheetId="5">'[10] Table summary (P.2)'!$F$74:$Q$74</definedName>
    <definedName name="PWR_CAPEX_Q" localSheetId="1">'[8] Table summary (PH1)'!$H$89:$S$89</definedName>
    <definedName name="PWR_CAPEX_Q">'[10] Table summary (P.2)'!$F$74:$Q$74</definedName>
    <definedName name="PWR_PHI" localSheetId="5">'[9]Year 2019 Summary '!$C$77:$N$77</definedName>
    <definedName name="PWR_PHI">'Year 2019 Summary '!$C$77:$N$77</definedName>
    <definedName name="Risk" localSheetId="5">'[18]DropDown List'!$C$2:$C$166</definedName>
    <definedName name="Risk">'[18]DropDown List'!$C$2:$C$166</definedName>
    <definedName name="Risk_Activity" localSheetId="5">'[17]DropDown List'!#REF!</definedName>
    <definedName name="Risk_Activity">'[17]DropDown List'!#REF!</definedName>
    <definedName name="Risk_Group" localSheetId="5">'[17]DropDown List'!#REF!</definedName>
    <definedName name="Risk_Group">'[17]DropDown List'!#REF!</definedName>
    <definedName name="Risk_Measures" localSheetId="5">'[17]DropDown List'!#REF!</definedName>
    <definedName name="Risk_Measures">'[17]DropDown List'!#REF!</definedName>
    <definedName name="Risk_Value_Field" localSheetId="5">'[17]DropDown List'!#REF!</definedName>
    <definedName name="Risk_Value_Field">'[17]DropDown List'!#REF!</definedName>
    <definedName name="RiskCatalog" localSheetId="5">'[17]DropDown List'!#REF!</definedName>
    <definedName name="RiskCatalog">'[17]DropDown List'!#REF!</definedName>
    <definedName name="RiskGroup" localSheetId="5">'[17]DropDown List'!#REF!</definedName>
    <definedName name="RiskGroup">'[17]DropDown List'!#REF!</definedName>
    <definedName name="RiskLevel" localSheetId="5">'[18]DropDown List'!$F$2:$F$17</definedName>
    <definedName name="RiskLevel">'[18]DropDown List'!$F$2:$F$17</definedName>
    <definedName name="RiskMeasures" localSheetId="5">'[17]DropDown List'!#REF!</definedName>
    <definedName name="RiskMeasures">'[17]DropDown List'!#REF!</definedName>
    <definedName name="RiskValueField" localSheetId="5">'[17]DropDown List'!#REF!</definedName>
    <definedName name="RiskValueField">'[17]DropDown List'!#REF!</definedName>
    <definedName name="Roll_Updt" localSheetId="5">'[9]BPA WH&lt;1&gt;'!$AO$6:$AP$36,'[9]BPA WH&lt;1&gt;'!$AV$6:$AW$36,'[9]BPA WH&lt;1&gt;'!$BC$6:$BD$36,'[9]BPA WH&lt;1&gt;'!$BJ$6:$BK$36,'[9]BPA WH&lt;1&gt;'!$BQ$6:$BR$36,'[9]BPA WH&lt;1&gt;'!$BX$6:$BY$36,'[9]BPA WH&lt;1&gt;'!$CL$6:$CM$36,'[9]BPA WH&lt;1&gt;'!$CS$6:$CU$36,'[9]BPA WH&lt;1&gt;'!$DA$6:$DC$35,'[9]BPA WH&lt;1&gt;'!$DA$6:$DC$36,'[9]BPA WH&lt;1&gt;'!$DI$6:$DJ$36,'[9]BPA WH&lt;1&gt;'!$DP$6:$DQ$36,'[9]BPA WH&lt;1&gt;'!$DW$6:$DX$36,'[9]BPA WH&lt;1&gt;'!$ED$6:$EE$36,'[9]BPA WH&lt;1&gt;'!$EK$6:$EL$36,'[9]BPA WH&lt;1&gt;'!$ER$6:$ES$36</definedName>
    <definedName name="Roll_Updt">'BPA WH&lt;1&gt;'!$AO$6:$AP$36,'BPA WH&lt;1&gt;'!$AV$6:$AW$36,'BPA WH&lt;1&gt;'!$BC$6:$BD$36,'BPA WH&lt;1&gt;'!$BJ$6:$BK$36,'BPA WH&lt;1&gt;'!$BQ$6:$BR$36,'BPA WH&lt;1&gt;'!$BX$6:$BY$36,'BPA WH&lt;1&gt;'!$CL$6:$CM$36,'BPA WH&lt;1&gt;'!$CS$6:$CU$36,'BPA WH&lt;1&gt;'!$DA$6:$DC$35,'BPA WH&lt;1&gt;'!$DA$6:$DC$36,'BPA WH&lt;1&gt;'!$DI$6:$DJ$36,'BPA WH&lt;1&gt;'!$DP$6:$DQ$36,'BPA WH&lt;1&gt;'!$DW$6:$DX$36,'BPA WH&lt;1&gt;'!$ED$6:$EE$36,'BPA WH&lt;1&gt;'!$EK$6:$EL$36,'BPA WH&lt;1&gt;'!$ER$6:$ES$36</definedName>
    <definedName name="S18_Bills" localSheetId="5">'[10] Table summary (P.2)'!$F$35:$Q$35</definedName>
    <definedName name="S18_Bills" localSheetId="1">'[8] Table summary (PH1)'!$H$40:$S$40</definedName>
    <definedName name="S18_Bills">'[10] Table summary (P.2)'!$F$35:$Q$35</definedName>
    <definedName name="S18_CAPEX_P" localSheetId="5">'[10] Table summary (P.2)'!$F$37:$Q$37</definedName>
    <definedName name="S18_CAPEX_P" localSheetId="1">'[8] Table summary (PH1)'!$H$42:$S$42</definedName>
    <definedName name="S18_CAPEX_P">'[10] Table summary (P.2)'!$F$37:$Q$37</definedName>
    <definedName name="S3_PHI" localSheetId="5">'[9]Year 2019 Summary '!$C$47:$N$47</definedName>
    <definedName name="S3_PHI">'Year 2019 Summary '!$C$47:$N$47</definedName>
    <definedName name="S40_Bills" localSheetId="5">'[10] Table summary (P.2)'!$F$32:$Q$32</definedName>
    <definedName name="S40_Bills" localSheetId="1">'[8] Table summary (PH1)'!$H$37:$S$37</definedName>
    <definedName name="S40_Bills">'[10] Table summary (P.2)'!$F$32:$Q$32</definedName>
    <definedName name="S40_CAPEX_P" localSheetId="5">'[10] Table summary (P.2)'!$F$34:$Q$34</definedName>
    <definedName name="S40_CAPEX_P" localSheetId="1">'[8] Table summary (PH1)'!$H$39:$S$39</definedName>
    <definedName name="S40_CAPEX_P">'[10] Table summary (P.2)'!$F$34:$Q$34</definedName>
    <definedName name="sale" localSheetId="5">OFFSET('[16]Retreive Raw data'!$AF$12,0,0,COUNT('[16]Retreive Raw data'!$AF:$AF),1)</definedName>
    <definedName name="sale" localSheetId="7">OFFSET('[6]Retreive Raw data'!$AF$12,0,0,COUNT('[6]Retreive Raw data'!$AF:$AF),1)</definedName>
    <definedName name="sale">OFFSET('[16]Retreive Raw data'!$AF$12,0,0,COUNT('[16]Retreive Raw data'!$AF:$AF),1)</definedName>
    <definedName name="ScoreCard_List" localSheetId="5">'[17]DropDown List'!#REF!</definedName>
    <definedName name="ScoreCard_List" localSheetId="10">'[17]DropDown List'!#REF!</definedName>
    <definedName name="ScoreCard_List">'[17]DropDown List'!#REF!</definedName>
    <definedName name="ScoreCardList" localSheetId="5">'[17]DropDown List'!#REF!</definedName>
    <definedName name="ScoreCardList" localSheetId="10">'[17]DropDown List'!#REF!</definedName>
    <definedName name="ScoreCardList">'[17]DropDown List'!#REF!</definedName>
    <definedName name="sd" localSheetId="5">'[6]Retreive Raw data'!#REF!</definedName>
    <definedName name="sd" localSheetId="10">'[6]Retreive Raw data'!#REF!</definedName>
    <definedName name="sd" localSheetId="7">'[6]Retreive Raw data'!#REF!</definedName>
    <definedName name="sd">'[6]Retreive Raw data'!#REF!</definedName>
    <definedName name="source" localSheetId="5">'[14]Selection obj'!$G$2:$G$3</definedName>
    <definedName name="source">'[14]Selection obj'!$G$2:$G$3</definedName>
    <definedName name="TotalBag" localSheetId="5">OFFSET('[16]Retreive Raw data'!$T$12,0,0,COUNT('[16]Retreive Raw data'!$T:$T),1)</definedName>
    <definedName name="TotalBag" localSheetId="7">OFFSET('[6]Retreive Raw data'!#REF!,0,0,COUNT('[6]Retreive Raw data'!$T:$T),1)</definedName>
    <definedName name="TotalBag">OFFSET('[16]Retreive Raw data'!$T$12,0,0,COUNT('[16]Retreive Raw data'!$T:$T),1)</definedName>
    <definedName name="trend" localSheetId="5">'[14]Selection obj'!$C$2:$C$3</definedName>
    <definedName name="trend">'[14]Selection obj'!$C$2:$C$3</definedName>
    <definedName name="UT_Feb12" localSheetId="5">'[6]Utilities (PI)'!#REF!</definedName>
    <definedName name="UT_Feb12" localSheetId="10">'[6]Utilities (PI)'!#REF!</definedName>
    <definedName name="UT_Feb12" localSheetId="7">'[6]Utilities (PI)'!#REF!</definedName>
    <definedName name="UT_Feb12">'[6]Utilities (PI)'!#REF!</definedName>
    <definedName name="UT_Jan12" localSheetId="5">'[6]Utilities (PI)'!#REF!</definedName>
    <definedName name="UT_Jan12" localSheetId="10">'[6]Utilities (PI)'!#REF!</definedName>
    <definedName name="UT_Jan12" localSheetId="7">'[6]Utilities (PI)'!#REF!</definedName>
    <definedName name="UT_Jan12">'[6]Utilities (PI)'!#REF!</definedName>
    <definedName name="UT_Mar12" localSheetId="5">'[6]Utilities (PI)'!#REF!</definedName>
    <definedName name="UT_Mar12" localSheetId="10">'[6]Utilities (PI)'!#REF!</definedName>
    <definedName name="UT_Mar12" localSheetId="7">'[6]Utilities (PI)'!#REF!</definedName>
    <definedName name="UT_Mar12">'[6]Utilities (PI)'!#REF!</definedName>
    <definedName name="Year_update" localSheetId="5">'[10] Table summary (P.2)'!$F$31:$Q$31</definedName>
    <definedName name="Year_update" localSheetId="1">'[8] Table summary (PH1)'!$H$36:$S$36</definedName>
    <definedName name="Year_update">'[10] Table summary (P.2)'!$F$31:$Q$31</definedName>
    <definedName name="YearUpdate" localSheetId="5">'[12]31 Jan 19 of Holdup'!$C$28:$N$28</definedName>
    <definedName name="YearUpdate">'Year 2019 Summary '!$C$38:$N$38</definedName>
    <definedName name="YrBudger13" localSheetId="5">'[7]MONTLY REPORT (P.1)'!$AA$10:$AA$21</definedName>
    <definedName name="YrBudger13">'[7]MONTLY REPORT (P.1)'!$AA$10:$AA$21</definedName>
  </definedNames>
  <calcPr calcId="145621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14" i="2" l="1"/>
  <c r="N25" i="2"/>
  <c r="N26" i="2"/>
  <c r="N9" i="2"/>
  <c r="N27" i="2"/>
  <c r="E20" i="1" l="1"/>
  <c r="P39" i="50" l="1"/>
  <c r="O39" i="50"/>
  <c r="R39" i="50" s="1"/>
  <c r="N39" i="50"/>
  <c r="Q39" i="50" s="1"/>
  <c r="L39" i="50"/>
  <c r="M39" i="50" s="1"/>
  <c r="H39" i="50"/>
  <c r="M38" i="50"/>
  <c r="H38" i="50"/>
  <c r="P38" i="50" s="1"/>
  <c r="M37" i="50"/>
  <c r="H37" i="50"/>
  <c r="P37" i="50" s="1"/>
  <c r="M36" i="50"/>
  <c r="H36" i="50"/>
  <c r="O36" i="50" s="1"/>
  <c r="M35" i="50"/>
  <c r="H35" i="50"/>
  <c r="N35" i="50" s="1"/>
  <c r="P34" i="50"/>
  <c r="H34" i="50"/>
  <c r="O34" i="50" s="1"/>
  <c r="R34" i="50" s="1"/>
  <c r="P33" i="50"/>
  <c r="O33" i="50"/>
  <c r="R33" i="50" s="1"/>
  <c r="N33" i="50"/>
  <c r="Q33" i="50" s="1"/>
  <c r="M33" i="50"/>
  <c r="H33" i="50"/>
  <c r="O32" i="50"/>
  <c r="N32" i="50"/>
  <c r="Q32" i="50" s="1"/>
  <c r="M32" i="50"/>
  <c r="P32" i="50" s="1"/>
  <c r="H32" i="50"/>
  <c r="M31" i="50"/>
  <c r="H31" i="50"/>
  <c r="P31" i="50" s="1"/>
  <c r="M30" i="50"/>
  <c r="H30" i="50"/>
  <c r="N30" i="50" s="1"/>
  <c r="M29" i="50"/>
  <c r="H29" i="50"/>
  <c r="O29" i="50" s="1"/>
  <c r="O28" i="50"/>
  <c r="N28" i="50"/>
  <c r="H28" i="50"/>
  <c r="P28" i="50" s="1"/>
  <c r="P27" i="50"/>
  <c r="O27" i="50"/>
  <c r="R27" i="50" s="1"/>
  <c r="H27" i="50"/>
  <c r="N27" i="50" s="1"/>
  <c r="Q27" i="50" s="1"/>
  <c r="H26" i="50"/>
  <c r="O26" i="50" s="1"/>
  <c r="H25" i="50"/>
  <c r="P25" i="50" s="1"/>
  <c r="O24" i="50"/>
  <c r="N24" i="50"/>
  <c r="H24" i="50"/>
  <c r="P24" i="50" s="1"/>
  <c r="P23" i="50"/>
  <c r="O23" i="50"/>
  <c r="R23" i="50" s="1"/>
  <c r="H23" i="50"/>
  <c r="N23" i="50" s="1"/>
  <c r="Q23" i="50" s="1"/>
  <c r="H22" i="50"/>
  <c r="P22" i="50" s="1"/>
  <c r="H21" i="50"/>
  <c r="P21" i="50" s="1"/>
  <c r="O20" i="50"/>
  <c r="N20" i="50"/>
  <c r="H20" i="50"/>
  <c r="P20" i="50" s="1"/>
  <c r="P19" i="50"/>
  <c r="O19" i="50"/>
  <c r="R19" i="50" s="1"/>
  <c r="M19" i="50"/>
  <c r="H19" i="50"/>
  <c r="N19" i="50" s="1"/>
  <c r="Q19" i="50" s="1"/>
  <c r="P18" i="50"/>
  <c r="O18" i="50"/>
  <c r="R18" i="50" s="1"/>
  <c r="N18" i="50"/>
  <c r="Q18" i="50" s="1"/>
  <c r="M18" i="50"/>
  <c r="H18" i="50"/>
  <c r="O17" i="50"/>
  <c r="N17" i="50"/>
  <c r="M17" i="50"/>
  <c r="P17" i="50" s="1"/>
  <c r="H17" i="50"/>
  <c r="M16" i="50"/>
  <c r="H16" i="50"/>
  <c r="P16" i="50" s="1"/>
  <c r="M15" i="50"/>
  <c r="H15" i="50"/>
  <c r="P15" i="50" s="1"/>
  <c r="M14" i="50"/>
  <c r="H14" i="50"/>
  <c r="O14" i="50" s="1"/>
  <c r="M13" i="50"/>
  <c r="H13" i="50"/>
  <c r="N13" i="50" s="1"/>
  <c r="P12" i="50"/>
  <c r="Q12" i="50" s="1"/>
  <c r="N12" i="50"/>
  <c r="M12" i="50"/>
  <c r="H12" i="50"/>
  <c r="O12" i="50" s="1"/>
  <c r="R12" i="50" s="1"/>
  <c r="P11" i="50"/>
  <c r="O11" i="50"/>
  <c r="R11" i="50" s="1"/>
  <c r="M11" i="50"/>
  <c r="H11" i="50"/>
  <c r="N11" i="50" s="1"/>
  <c r="Q11" i="50" s="1"/>
  <c r="P10" i="50"/>
  <c r="O10" i="50"/>
  <c r="R10" i="50" s="1"/>
  <c r="N10" i="50"/>
  <c r="Q10" i="50" s="1"/>
  <c r="M10" i="50"/>
  <c r="H10" i="50"/>
  <c r="H9" i="50"/>
  <c r="P9" i="50" s="1"/>
  <c r="M8" i="50"/>
  <c r="H8" i="50"/>
  <c r="P8" i="50" s="1"/>
  <c r="H7" i="50"/>
  <c r="O7" i="50" s="1"/>
  <c r="P6" i="50"/>
  <c r="N6" i="50"/>
  <c r="M6" i="50"/>
  <c r="H6" i="50"/>
  <c r="O6" i="50" s="1"/>
  <c r="R7" i="50" l="1"/>
  <c r="Q20" i="50"/>
  <c r="R20" i="50"/>
  <c r="R29" i="50"/>
  <c r="R32" i="50"/>
  <c r="Q24" i="50"/>
  <c r="R24" i="50"/>
  <c r="R36" i="50"/>
  <c r="Q28" i="50"/>
  <c r="R28" i="50"/>
  <c r="Q17" i="50"/>
  <c r="R6" i="50"/>
  <c r="R17" i="50"/>
  <c r="P26" i="50"/>
  <c r="R26" i="50" s="1"/>
  <c r="P7" i="50"/>
  <c r="P40" i="50" s="1"/>
  <c r="O13" i="50"/>
  <c r="P14" i="50"/>
  <c r="R14" i="50" s="1"/>
  <c r="P29" i="50"/>
  <c r="N34" i="50"/>
  <c r="Q34" i="50" s="1"/>
  <c r="O35" i="50"/>
  <c r="R35" i="50" s="1"/>
  <c r="P36" i="50"/>
  <c r="P13" i="50"/>
  <c r="Q13" i="50" s="1"/>
  <c r="P35" i="50"/>
  <c r="Q35" i="50" s="1"/>
  <c r="N26" i="50"/>
  <c r="Q26" i="50" s="1"/>
  <c r="O22" i="50"/>
  <c r="R22" i="50" s="1"/>
  <c r="N31" i="50"/>
  <c r="Q31" i="50" s="1"/>
  <c r="N38" i="50"/>
  <c r="Q38" i="50" s="1"/>
  <c r="N9" i="50"/>
  <c r="Q9" i="50" s="1"/>
  <c r="N22" i="50"/>
  <c r="Q22" i="50" s="1"/>
  <c r="O9" i="50"/>
  <c r="R9" i="50" s="1"/>
  <c r="N16" i="50"/>
  <c r="Q16" i="50" s="1"/>
  <c r="N15" i="50"/>
  <c r="Q15" i="50" s="1"/>
  <c r="O16" i="50"/>
  <c r="R16" i="50" s="1"/>
  <c r="N21" i="50"/>
  <c r="Q21" i="50" s="1"/>
  <c r="N25" i="50"/>
  <c r="Q25" i="50" s="1"/>
  <c r="O31" i="50"/>
  <c r="R31" i="50" s="1"/>
  <c r="O38" i="50"/>
  <c r="R38" i="50" s="1"/>
  <c r="N7" i="50"/>
  <c r="Q7" i="50" s="1"/>
  <c r="O8" i="50"/>
  <c r="R8" i="50" s="1"/>
  <c r="N14" i="50"/>
  <c r="O15" i="50"/>
  <c r="R15" i="50" s="1"/>
  <c r="O21" i="50"/>
  <c r="R21" i="50" s="1"/>
  <c r="O25" i="50"/>
  <c r="R25" i="50" s="1"/>
  <c r="N29" i="50"/>
  <c r="Q29" i="50" s="1"/>
  <c r="O30" i="50"/>
  <c r="R30" i="50" s="1"/>
  <c r="N36" i="50"/>
  <c r="Q36" i="50" s="1"/>
  <c r="O37" i="50"/>
  <c r="R37" i="50" s="1"/>
  <c r="N8" i="50"/>
  <c r="Q8" i="50" s="1"/>
  <c r="N37" i="50"/>
  <c r="Q37" i="50" s="1"/>
  <c r="P30" i="50"/>
  <c r="Q30" i="50" s="1"/>
  <c r="Q6" i="50"/>
  <c r="Q14" i="50" l="1"/>
  <c r="Q40" i="50" s="1"/>
  <c r="R13" i="50"/>
  <c r="N40" i="50"/>
  <c r="O40" i="50"/>
  <c r="R40" i="50"/>
  <c r="Q43" i="50" l="1"/>
  <c r="F1" i="50"/>
  <c r="R43" i="50"/>
  <c r="Q41" i="50"/>
  <c r="N71" i="2" l="1"/>
  <c r="N51" i="2"/>
  <c r="N54" i="2"/>
  <c r="N76" i="2"/>
  <c r="N49" i="2"/>
  <c r="N43" i="2"/>
  <c r="BL32" i="23" l="1"/>
  <c r="BL33" i="23"/>
  <c r="BL34" i="23"/>
  <c r="BL35" i="23"/>
  <c r="BL36" i="23"/>
  <c r="W36" i="23"/>
  <c r="U36" i="23"/>
  <c r="K36" i="6" l="1"/>
  <c r="N60" i="2"/>
  <c r="N69" i="2"/>
  <c r="O27" i="2" l="1"/>
  <c r="O6" i="23" l="1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G32" i="7" l="1"/>
  <c r="G36" i="7"/>
  <c r="D25" i="2" l="1"/>
  <c r="E25" i="2"/>
  <c r="F25" i="2"/>
  <c r="G25" i="2"/>
  <c r="H25" i="2"/>
  <c r="I25" i="2"/>
  <c r="J25" i="2"/>
  <c r="K25" i="2"/>
  <c r="K10" i="2" s="1"/>
  <c r="N10" i="2"/>
  <c r="C25" i="2"/>
  <c r="G10" i="2" l="1"/>
  <c r="H10" i="2"/>
  <c r="I10" i="2"/>
  <c r="J10" i="2"/>
  <c r="C10" i="2"/>
  <c r="D10" i="2"/>
  <c r="E10" i="2"/>
  <c r="D19" i="1" l="1"/>
  <c r="CG7" i="23"/>
  <c r="CG8" i="23"/>
  <c r="CG9" i="23"/>
  <c r="CG10" i="23"/>
  <c r="CG11" i="23"/>
  <c r="CG12" i="23"/>
  <c r="CG13" i="23"/>
  <c r="CG14" i="23"/>
  <c r="CG15" i="23"/>
  <c r="CG16" i="23"/>
  <c r="CG17" i="23"/>
  <c r="CG18" i="23"/>
  <c r="CG19" i="23"/>
  <c r="CG20" i="23"/>
  <c r="CG21" i="23"/>
  <c r="CG22" i="23"/>
  <c r="CG23" i="23"/>
  <c r="CG24" i="23"/>
  <c r="CG25" i="23"/>
  <c r="CG26" i="23"/>
  <c r="CG27" i="23"/>
  <c r="CG28" i="23"/>
  <c r="CG29" i="23"/>
  <c r="CG30" i="23"/>
  <c r="CG31" i="23"/>
  <c r="CG32" i="23"/>
  <c r="CG33" i="23"/>
  <c r="CG34" i="23"/>
  <c r="CG35" i="23"/>
  <c r="CG36" i="23"/>
  <c r="CG6" i="23"/>
  <c r="N7" i="23"/>
  <c r="CD7" i="23" s="1"/>
  <c r="N8" i="23"/>
  <c r="CD8" i="23" s="1"/>
  <c r="N9" i="23"/>
  <c r="CD9" i="23" s="1"/>
  <c r="N10" i="23"/>
  <c r="CD10" i="23" s="1"/>
  <c r="N11" i="23"/>
  <c r="CD11" i="23" s="1"/>
  <c r="N12" i="23"/>
  <c r="CD12" i="23" s="1"/>
  <c r="N13" i="23"/>
  <c r="CD13" i="23" s="1"/>
  <c r="N14" i="23"/>
  <c r="CD14" i="23" s="1"/>
  <c r="N15" i="23"/>
  <c r="CD15" i="23" s="1"/>
  <c r="N16" i="23"/>
  <c r="CD16" i="23" s="1"/>
  <c r="N17" i="23"/>
  <c r="CD17" i="23" s="1"/>
  <c r="N18" i="23"/>
  <c r="CD18" i="23" s="1"/>
  <c r="N19" i="23"/>
  <c r="CD19" i="23" s="1"/>
  <c r="N20" i="23"/>
  <c r="CD20" i="23" s="1"/>
  <c r="N21" i="23"/>
  <c r="CD21" i="23" s="1"/>
  <c r="N22" i="23"/>
  <c r="CD22" i="23" s="1"/>
  <c r="N23" i="23"/>
  <c r="CD23" i="23" s="1"/>
  <c r="N24" i="23"/>
  <c r="CD24" i="23" s="1"/>
  <c r="N25" i="23"/>
  <c r="CD25" i="23" s="1"/>
  <c r="N26" i="23"/>
  <c r="CD26" i="23" s="1"/>
  <c r="N27" i="23"/>
  <c r="CD27" i="23" s="1"/>
  <c r="N28" i="23"/>
  <c r="CD28" i="23" s="1"/>
  <c r="N29" i="23"/>
  <c r="CD29" i="23" s="1"/>
  <c r="N30" i="23"/>
  <c r="CD30" i="23" s="1"/>
  <c r="N31" i="23"/>
  <c r="CD31" i="23" s="1"/>
  <c r="N32" i="23"/>
  <c r="CD32" i="23" s="1"/>
  <c r="N33" i="23"/>
  <c r="CD33" i="23" s="1"/>
  <c r="N34" i="23"/>
  <c r="CD34" i="23" s="1"/>
  <c r="N35" i="23"/>
  <c r="CD35" i="23" s="1"/>
  <c r="N36" i="23"/>
  <c r="CD36" i="23" s="1"/>
  <c r="N6" i="23"/>
  <c r="CD6" i="23" s="1"/>
  <c r="CC37" i="23"/>
  <c r="CC6" i="23"/>
  <c r="D14" i="1" l="1"/>
  <c r="CN7" i="23"/>
  <c r="CN8" i="23"/>
  <c r="CN9" i="23"/>
  <c r="CN10" i="23"/>
  <c r="CN11" i="23"/>
  <c r="CN12" i="23"/>
  <c r="CN13" i="23"/>
  <c r="CN14" i="23"/>
  <c r="CN15" i="23"/>
  <c r="CN16" i="23"/>
  <c r="CN17" i="23"/>
  <c r="CN18" i="23"/>
  <c r="CN19" i="23"/>
  <c r="CN20" i="23"/>
  <c r="CN21" i="23"/>
  <c r="CN22" i="23"/>
  <c r="CN23" i="23"/>
  <c r="CN24" i="23"/>
  <c r="CN25" i="23"/>
  <c r="CN26" i="23"/>
  <c r="CN27" i="23"/>
  <c r="CN28" i="23"/>
  <c r="CN29" i="23"/>
  <c r="CN30" i="23"/>
  <c r="CN31" i="23"/>
  <c r="CN32" i="23"/>
  <c r="CN33" i="23"/>
  <c r="CN34" i="23"/>
  <c r="CN35" i="23"/>
  <c r="CN36" i="23"/>
  <c r="CN6" i="23"/>
  <c r="D15" i="1"/>
  <c r="E15" i="1"/>
  <c r="Y15" i="1" s="1"/>
  <c r="H7" i="23" l="1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6" i="23"/>
  <c r="BS35" i="23"/>
  <c r="BS36" i="23"/>
  <c r="B34" i="7"/>
  <c r="G34" i="7"/>
  <c r="L34" i="7"/>
  <c r="P34" i="7"/>
  <c r="B35" i="7"/>
  <c r="G35" i="7"/>
  <c r="L35" i="7"/>
  <c r="P35" i="7"/>
  <c r="B36" i="7"/>
  <c r="L36" i="7"/>
  <c r="P36" i="7"/>
  <c r="G31" i="7"/>
  <c r="G33" i="7"/>
  <c r="D30" i="23"/>
  <c r="D31" i="23"/>
  <c r="D32" i="23"/>
  <c r="D33" i="23"/>
  <c r="D34" i="23"/>
  <c r="D35" i="23"/>
  <c r="D36" i="23"/>
  <c r="F36" i="23"/>
  <c r="G36" i="23"/>
  <c r="I36" i="23"/>
  <c r="J36" i="23"/>
  <c r="AU36" i="23" s="1"/>
  <c r="K36" i="23"/>
  <c r="L36" i="23"/>
  <c r="M36" i="23"/>
  <c r="M30" i="23"/>
  <c r="M31" i="23"/>
  <c r="M32" i="23"/>
  <c r="M33" i="23"/>
  <c r="M34" i="23"/>
  <c r="M35" i="23"/>
  <c r="J35" i="23"/>
  <c r="AU35" i="23" s="1"/>
  <c r="C36" i="23" l="1"/>
  <c r="E36" i="23" s="1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6" i="23"/>
  <c r="E51" i="2" l="1"/>
  <c r="F51" i="2"/>
  <c r="D51" i="2"/>
  <c r="O54" i="2"/>
  <c r="M14" i="40" l="1"/>
  <c r="K10" i="40"/>
  <c r="H10" i="40"/>
  <c r="P10" i="40"/>
  <c r="O10" i="40"/>
  <c r="G10" i="40" l="1"/>
  <c r="M11" i="40"/>
  <c r="M13" i="40"/>
  <c r="S9" i="40"/>
  <c r="S14" i="40"/>
  <c r="M9" i="40"/>
  <c r="J10" i="40"/>
  <c r="S12" i="40"/>
  <c r="S8" i="40"/>
  <c r="M12" i="40"/>
  <c r="M8" i="40"/>
  <c r="S11" i="40"/>
  <c r="S13" i="40"/>
  <c r="F10" i="40"/>
  <c r="N10" i="40"/>
  <c r="S10" i="40" l="1"/>
  <c r="M10" i="40"/>
  <c r="J9" i="1"/>
  <c r="N9" i="1"/>
  <c r="P9" i="1"/>
  <c r="O18" i="1"/>
  <c r="H14" i="1" s="1"/>
  <c r="G7" i="7" l="1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6" i="7"/>
  <c r="D71" i="2" l="1"/>
  <c r="O76" i="2" l="1"/>
  <c r="D39" i="2"/>
  <c r="D69" i="2" l="1"/>
  <c r="E69" i="2" s="1"/>
  <c r="F69" i="2" s="1"/>
  <c r="G69" i="2" s="1"/>
  <c r="H69" i="2" s="1"/>
  <c r="I69" i="2" s="1"/>
  <c r="J69" i="2" s="1"/>
  <c r="K69" i="2" s="1"/>
  <c r="L69" i="2" s="1"/>
  <c r="M69" i="2" s="1"/>
  <c r="D73" i="2" l="1"/>
  <c r="E73" i="2"/>
  <c r="F73" i="2"/>
  <c r="G73" i="2"/>
  <c r="H73" i="2"/>
  <c r="I73" i="2"/>
  <c r="J73" i="2"/>
  <c r="K73" i="2"/>
  <c r="L73" i="2"/>
  <c r="M73" i="2"/>
  <c r="N73" i="2"/>
  <c r="C73" i="2"/>
  <c r="D66" i="2"/>
  <c r="E66" i="2"/>
  <c r="C66" i="2"/>
  <c r="D45" i="2"/>
  <c r="E45" i="2"/>
  <c r="F45" i="2"/>
  <c r="G45" i="2"/>
  <c r="H45" i="2"/>
  <c r="I45" i="2"/>
  <c r="J45" i="2"/>
  <c r="K45" i="2"/>
  <c r="L45" i="2"/>
  <c r="M45" i="2"/>
  <c r="N45" i="2"/>
  <c r="C45" i="2"/>
  <c r="D40" i="2"/>
  <c r="E40" i="2"/>
  <c r="F40" i="2"/>
  <c r="G40" i="2"/>
  <c r="H40" i="2"/>
  <c r="I40" i="2"/>
  <c r="J40" i="2"/>
  <c r="K40" i="2"/>
  <c r="L40" i="2"/>
  <c r="M40" i="2"/>
  <c r="N40" i="2"/>
  <c r="C40" i="2"/>
  <c r="L11" i="7" l="1"/>
  <c r="L6" i="7"/>
  <c r="AL6" i="7"/>
  <c r="AL37" i="7" s="1"/>
  <c r="L7" i="7"/>
  <c r="L8" i="7"/>
  <c r="L9" i="7"/>
  <c r="L10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P6" i="7"/>
  <c r="AK6" i="7" s="1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AK7" i="7" l="1"/>
  <c r="AK8" i="7" s="1"/>
  <c r="AK9" i="7" s="1"/>
  <c r="AK10" i="7" s="1"/>
  <c r="AK11" i="7" s="1"/>
  <c r="AK12" i="7" s="1"/>
  <c r="AK13" i="7" s="1"/>
  <c r="AK14" i="7" s="1"/>
  <c r="AK15" i="7" s="1"/>
  <c r="AK16" i="7" s="1"/>
  <c r="AK17" i="7" s="1"/>
  <c r="AK18" i="7" s="1"/>
  <c r="AK19" i="7" s="1"/>
  <c r="AK20" i="7" s="1"/>
  <c r="AK21" i="7" s="1"/>
  <c r="AK22" i="7" s="1"/>
  <c r="AK23" i="7" s="1"/>
  <c r="AK24" i="7" s="1"/>
  <c r="AK25" i="7" s="1"/>
  <c r="AK26" i="7" s="1"/>
  <c r="AK27" i="7" s="1"/>
  <c r="AK28" i="7" s="1"/>
  <c r="AK29" i="7" s="1"/>
  <c r="AK30" i="7" s="1"/>
  <c r="AK31" i="7" s="1"/>
  <c r="AK32" i="7" s="1"/>
  <c r="AK33" i="7" s="1"/>
  <c r="AK34" i="7" s="1"/>
  <c r="AK35" i="7" s="1"/>
  <c r="AK36" i="7" s="1"/>
  <c r="U7" i="23" l="1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6" i="23"/>
  <c r="L60" i="2" l="1"/>
  <c r="L51" i="2"/>
  <c r="F66" i="2" l="1"/>
  <c r="G66" i="2" l="1"/>
  <c r="S22" i="1"/>
  <c r="S9" i="1" s="1"/>
  <c r="P22" i="1"/>
  <c r="O22" i="1"/>
  <c r="H21" i="1" s="1"/>
  <c r="N22" i="1"/>
  <c r="M22" i="1"/>
  <c r="K22" i="1"/>
  <c r="J22" i="1"/>
  <c r="I22" i="1"/>
  <c r="G22" i="1"/>
  <c r="H66" i="2" l="1"/>
  <c r="Z7" i="23"/>
  <c r="Z8" i="23"/>
  <c r="Z9" i="23"/>
  <c r="Z10" i="23"/>
  <c r="Z11" i="23"/>
  <c r="Z12" i="23"/>
  <c r="Z13" i="23"/>
  <c r="Z14" i="23"/>
  <c r="Z15" i="23"/>
  <c r="Z16" i="23"/>
  <c r="Z17" i="23"/>
  <c r="Z18" i="23"/>
  <c r="Z19" i="23"/>
  <c r="Z20" i="23"/>
  <c r="Z21" i="23"/>
  <c r="Z22" i="23"/>
  <c r="Z23" i="23"/>
  <c r="Z24" i="23"/>
  <c r="Z25" i="23"/>
  <c r="Z26" i="23"/>
  <c r="Z27" i="23"/>
  <c r="Z28" i="23"/>
  <c r="Z29" i="23"/>
  <c r="Z30" i="23"/>
  <c r="Z31" i="23"/>
  <c r="Z32" i="23"/>
  <c r="Z33" i="23"/>
  <c r="Z34" i="23"/>
  <c r="Z35" i="23"/>
  <c r="Z36" i="23"/>
  <c r="Y6" i="23"/>
  <c r="Z6" i="23"/>
  <c r="AA6" i="23"/>
  <c r="AB6" i="23"/>
  <c r="AC6" i="23"/>
  <c r="AA7" i="23"/>
  <c r="AB7" i="23"/>
  <c r="AC7" i="23"/>
  <c r="AA8" i="23"/>
  <c r="AB8" i="23"/>
  <c r="AC8" i="23"/>
  <c r="AA9" i="23"/>
  <c r="AB9" i="23"/>
  <c r="AC9" i="23"/>
  <c r="AA10" i="23"/>
  <c r="AB10" i="23"/>
  <c r="AC10" i="23"/>
  <c r="AA11" i="23"/>
  <c r="AB11" i="23"/>
  <c r="AC11" i="23"/>
  <c r="AA12" i="23"/>
  <c r="AB12" i="23"/>
  <c r="AC12" i="23"/>
  <c r="AA13" i="23"/>
  <c r="AB13" i="23"/>
  <c r="AC13" i="23"/>
  <c r="AA14" i="23"/>
  <c r="AB14" i="23"/>
  <c r="AC14" i="23"/>
  <c r="AA15" i="23"/>
  <c r="AB15" i="23"/>
  <c r="AC15" i="23"/>
  <c r="AA16" i="23"/>
  <c r="AB16" i="23"/>
  <c r="AC16" i="23"/>
  <c r="AA17" i="23"/>
  <c r="AB17" i="23"/>
  <c r="AC17" i="23"/>
  <c r="AA18" i="23"/>
  <c r="AB18" i="23"/>
  <c r="AC18" i="23"/>
  <c r="AA19" i="23"/>
  <c r="AB19" i="23"/>
  <c r="AC19" i="23"/>
  <c r="AA20" i="23"/>
  <c r="AB20" i="23"/>
  <c r="AC20" i="23"/>
  <c r="AA21" i="23"/>
  <c r="AB21" i="23"/>
  <c r="AC21" i="23"/>
  <c r="AA22" i="23"/>
  <c r="AB22" i="23"/>
  <c r="AC22" i="23"/>
  <c r="AA23" i="23"/>
  <c r="AB23" i="23"/>
  <c r="AC23" i="23"/>
  <c r="AA24" i="23"/>
  <c r="AB24" i="23"/>
  <c r="AC24" i="23"/>
  <c r="AA25" i="23"/>
  <c r="AB25" i="23"/>
  <c r="AC25" i="23"/>
  <c r="AA26" i="23"/>
  <c r="AB26" i="23"/>
  <c r="AC26" i="23"/>
  <c r="AA27" i="23"/>
  <c r="AB27" i="23"/>
  <c r="AC27" i="23"/>
  <c r="AA28" i="23"/>
  <c r="AB28" i="23"/>
  <c r="AC28" i="23"/>
  <c r="AA29" i="23"/>
  <c r="AB29" i="23"/>
  <c r="AC29" i="23"/>
  <c r="AA30" i="23"/>
  <c r="AB30" i="23"/>
  <c r="AC30" i="23"/>
  <c r="AA31" i="23"/>
  <c r="AB31" i="23"/>
  <c r="AC31" i="23"/>
  <c r="AA32" i="23"/>
  <c r="AB32" i="23"/>
  <c r="AC32" i="23"/>
  <c r="AA33" i="23"/>
  <c r="AB33" i="23"/>
  <c r="AC33" i="23"/>
  <c r="AA34" i="23"/>
  <c r="AB34" i="23"/>
  <c r="AC34" i="23"/>
  <c r="AA35" i="23"/>
  <c r="AB35" i="23"/>
  <c r="AC35" i="23"/>
  <c r="AA36" i="23"/>
  <c r="AB36" i="23"/>
  <c r="AC36" i="23"/>
  <c r="Y37" i="23"/>
  <c r="I66" i="2" l="1"/>
  <c r="AD6" i="23"/>
  <c r="Y7" i="23" s="1"/>
  <c r="AD7" i="23" l="1"/>
  <c r="Y8" i="23" s="1"/>
  <c r="AD8" i="23" s="1"/>
  <c r="Y9" i="23" s="1"/>
  <c r="AD9" i="23" s="1"/>
  <c r="J66" i="2"/>
  <c r="K66" i="2" l="1"/>
  <c r="Y10" i="23"/>
  <c r="AD10" i="23" s="1"/>
  <c r="O36" i="10"/>
  <c r="D23" i="2"/>
  <c r="E23" i="2" s="1"/>
  <c r="F23" i="2" s="1"/>
  <c r="H23" i="2" s="1"/>
  <c r="M66" i="2" l="1"/>
  <c r="L66" i="2"/>
  <c r="Y11" i="23"/>
  <c r="AD11" i="23" s="1"/>
  <c r="N23" i="2"/>
  <c r="AK20" i="2"/>
  <c r="Y12" i="23" l="1"/>
  <c r="AD12" i="23" s="1"/>
  <c r="Y13" i="23" l="1"/>
  <c r="AD13" i="23" s="1"/>
  <c r="Y14" i="23" l="1"/>
  <c r="AD14" i="23" s="1"/>
  <c r="Y15" i="23" l="1"/>
  <c r="AD15" i="23" s="1"/>
  <c r="Y16" i="23" l="1"/>
  <c r="AD16" i="23" s="1"/>
  <c r="I5" i="6"/>
  <c r="E5" i="6"/>
  <c r="I5" i="10"/>
  <c r="E5" i="10"/>
  <c r="Y17" i="23" l="1"/>
  <c r="AD17" i="23" s="1"/>
  <c r="D24" i="1"/>
  <c r="Y18" i="23" l="1"/>
  <c r="AD18" i="23" s="1"/>
  <c r="Y19" i="23" l="1"/>
  <c r="AD19" i="23" s="1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6" i="7"/>
  <c r="Y20" i="23" l="1"/>
  <c r="AD20" i="23" s="1"/>
  <c r="Y21" i="23" l="1"/>
  <c r="AD21" i="23" s="1"/>
  <c r="Y22" i="23" l="1"/>
  <c r="AD22" i="23" s="1"/>
  <c r="Y23" i="23" l="1"/>
  <c r="AD23" i="23" s="1"/>
  <c r="Y24" i="23" l="1"/>
  <c r="AD24" i="23" s="1"/>
  <c r="F89" i="1"/>
  <c r="K53" i="1" s="1"/>
  <c r="Y25" i="23" l="1"/>
  <c r="AD25" i="23" s="1"/>
  <c r="Y26" i="23" l="1"/>
  <c r="AD26" i="23" s="1"/>
  <c r="BA6" i="23"/>
  <c r="Y27" i="23" l="1"/>
  <c r="AD27" i="23" s="1"/>
  <c r="F90" i="1"/>
  <c r="Y28" i="23" l="1"/>
  <c r="AD28" i="23" s="1"/>
  <c r="Y29" i="23" l="1"/>
  <c r="AD29" i="23" s="1"/>
  <c r="Y30" i="23" l="1"/>
  <c r="AD30" i="23" s="1"/>
  <c r="Y31" i="23" l="1"/>
  <c r="AD31" i="23" s="1"/>
  <c r="D26" i="2" l="1"/>
  <c r="Y32" i="23"/>
  <c r="AD32" i="23" s="1"/>
  <c r="O83" i="1"/>
  <c r="O82" i="1"/>
  <c r="O81" i="1"/>
  <c r="O80" i="1"/>
  <c r="O79" i="1"/>
  <c r="O78" i="1"/>
  <c r="O54" i="1"/>
  <c r="O53" i="1"/>
  <c r="J31" i="1"/>
  <c r="N31" i="1"/>
  <c r="P31" i="1"/>
  <c r="Y33" i="23" l="1"/>
  <c r="AD33" i="23" s="1"/>
  <c r="P102" i="2"/>
  <c r="N66" i="2" l="1"/>
  <c r="Y34" i="23"/>
  <c r="AD34" i="23" s="1"/>
  <c r="F10" i="2"/>
  <c r="E26" i="2" l="1"/>
  <c r="F26" i="2" s="1"/>
  <c r="H26" i="2" s="1"/>
  <c r="Y35" i="23"/>
  <c r="AD35" i="23" s="1"/>
  <c r="H60" i="2"/>
  <c r="I60" i="2"/>
  <c r="J60" i="2"/>
  <c r="K60" i="2"/>
  <c r="C51" i="2"/>
  <c r="G51" i="2"/>
  <c r="H51" i="2"/>
  <c r="J51" i="2"/>
  <c r="K51" i="2"/>
  <c r="M51" i="2"/>
  <c r="O28" i="2"/>
  <c r="C5" i="2"/>
  <c r="Y36" i="23" l="1"/>
  <c r="AD36" i="23" s="1"/>
  <c r="N12" i="2"/>
  <c r="N11" i="2"/>
  <c r="Q107" i="2" l="1"/>
  <c r="R107" i="2"/>
  <c r="S107" i="2"/>
  <c r="T107" i="2"/>
  <c r="U107" i="2"/>
  <c r="V107" i="2"/>
  <c r="W107" i="2"/>
  <c r="P128" i="2"/>
  <c r="P107" i="2"/>
  <c r="P99" i="2"/>
  <c r="H38" i="10" l="1"/>
  <c r="J36" i="6" l="1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5" i="6"/>
  <c r="B2" i="48" l="1"/>
  <c r="I20" i="48" l="1"/>
  <c r="I17" i="48"/>
  <c r="D7" i="23" l="1"/>
  <c r="C7" i="23" s="1"/>
  <c r="D8" i="23"/>
  <c r="C8" i="23" s="1"/>
  <c r="D9" i="23"/>
  <c r="C9" i="23" s="1"/>
  <c r="D10" i="23"/>
  <c r="C10" i="23" s="1"/>
  <c r="D11" i="23"/>
  <c r="C11" i="23" s="1"/>
  <c r="D12" i="23"/>
  <c r="C12" i="23" s="1"/>
  <c r="D13" i="23"/>
  <c r="C13" i="23" s="1"/>
  <c r="D14" i="23"/>
  <c r="C14" i="23" s="1"/>
  <c r="D15" i="23"/>
  <c r="C15" i="23" s="1"/>
  <c r="D16" i="23"/>
  <c r="C16" i="23" s="1"/>
  <c r="D17" i="23"/>
  <c r="C17" i="23" s="1"/>
  <c r="D18" i="23"/>
  <c r="C18" i="23" s="1"/>
  <c r="D19" i="23"/>
  <c r="C19" i="23" s="1"/>
  <c r="D20" i="23"/>
  <c r="C20" i="23" s="1"/>
  <c r="D21" i="23"/>
  <c r="C21" i="23" s="1"/>
  <c r="D22" i="23"/>
  <c r="C22" i="23" s="1"/>
  <c r="D23" i="23"/>
  <c r="C23" i="23" s="1"/>
  <c r="D24" i="23"/>
  <c r="C24" i="23" s="1"/>
  <c r="D25" i="23"/>
  <c r="C25" i="23" s="1"/>
  <c r="D26" i="23"/>
  <c r="C26" i="23" s="1"/>
  <c r="D27" i="23"/>
  <c r="C27" i="23" s="1"/>
  <c r="D28" i="23"/>
  <c r="C28" i="23" s="1"/>
  <c r="D29" i="23"/>
  <c r="C29" i="23" s="1"/>
  <c r="C30" i="23"/>
  <c r="C31" i="23"/>
  <c r="C32" i="23"/>
  <c r="C33" i="23"/>
  <c r="C34" i="23"/>
  <c r="C35" i="23"/>
  <c r="D6" i="23"/>
  <c r="C6" i="23" s="1"/>
  <c r="O14" i="2" l="1"/>
  <c r="O13" i="2"/>
  <c r="O64" i="2" l="1"/>
  <c r="M60" i="2" l="1"/>
  <c r="G60" i="2"/>
  <c r="F60" i="2"/>
  <c r="E60" i="2"/>
  <c r="C60" i="2"/>
  <c r="AK87" i="1" l="1"/>
  <c r="AJ87" i="1"/>
  <c r="AI87" i="1"/>
  <c r="AH87" i="1"/>
  <c r="AG87" i="1"/>
  <c r="AF87" i="1"/>
  <c r="AE87" i="1"/>
  <c r="AD87" i="1"/>
  <c r="AC87" i="1"/>
  <c r="AB87" i="1"/>
  <c r="AA87" i="1"/>
  <c r="Z87" i="1"/>
  <c r="W128" i="2" l="1"/>
  <c r="V128" i="2"/>
  <c r="U128" i="2"/>
  <c r="T128" i="2"/>
  <c r="S128" i="2"/>
  <c r="R128" i="2"/>
  <c r="W99" i="2"/>
  <c r="V99" i="2"/>
  <c r="U99" i="2"/>
  <c r="T99" i="2"/>
  <c r="S99" i="2"/>
  <c r="R99" i="2"/>
  <c r="Q128" i="2"/>
  <c r="Q99" i="2"/>
  <c r="Q102" i="2" l="1"/>
  <c r="D29" i="1" l="1"/>
  <c r="Q26" i="1"/>
  <c r="D26" i="1"/>
  <c r="D20" i="1"/>
  <c r="D17" i="1"/>
  <c r="D13" i="1"/>
  <c r="EM36" i="23"/>
  <c r="EM35" i="23"/>
  <c r="EM34" i="23"/>
  <c r="EM33" i="23"/>
  <c r="EM32" i="23"/>
  <c r="EM31" i="23"/>
  <c r="EM30" i="23"/>
  <c r="EM29" i="23"/>
  <c r="EM28" i="23"/>
  <c r="EM27" i="23"/>
  <c r="EM26" i="23"/>
  <c r="EM25" i="23"/>
  <c r="EM24" i="23"/>
  <c r="EM23" i="23"/>
  <c r="EM22" i="23"/>
  <c r="EM21" i="23"/>
  <c r="EM20" i="23"/>
  <c r="EM19" i="23"/>
  <c r="EM18" i="23"/>
  <c r="EM17" i="23"/>
  <c r="EM16" i="23"/>
  <c r="EM15" i="23"/>
  <c r="EM14" i="23"/>
  <c r="EM13" i="23"/>
  <c r="EM12" i="23"/>
  <c r="EM11" i="23"/>
  <c r="EM10" i="23"/>
  <c r="EM9" i="23"/>
  <c r="EM8" i="23"/>
  <c r="EM7" i="23"/>
  <c r="EM6" i="23"/>
  <c r="EI37" i="23"/>
  <c r="EI6" i="23"/>
  <c r="DR36" i="23"/>
  <c r="DR35" i="23"/>
  <c r="DR34" i="23"/>
  <c r="DR33" i="23"/>
  <c r="DR32" i="23"/>
  <c r="DR31" i="23"/>
  <c r="DR30" i="23"/>
  <c r="DR29" i="23"/>
  <c r="DR28" i="23"/>
  <c r="DR27" i="23"/>
  <c r="DR26" i="23"/>
  <c r="DR25" i="23"/>
  <c r="DR24" i="23"/>
  <c r="DR23" i="23"/>
  <c r="DR22" i="23"/>
  <c r="DR21" i="23"/>
  <c r="DR20" i="23"/>
  <c r="DR19" i="23"/>
  <c r="DR18" i="23"/>
  <c r="DR17" i="23"/>
  <c r="DR16" i="23"/>
  <c r="DR15" i="23"/>
  <c r="DR14" i="23"/>
  <c r="DR13" i="23"/>
  <c r="DR12" i="23"/>
  <c r="DR11" i="23"/>
  <c r="DR10" i="23"/>
  <c r="DR9" i="23"/>
  <c r="DR8" i="23"/>
  <c r="DR7" i="23"/>
  <c r="DR6" i="23"/>
  <c r="AI36" i="23"/>
  <c r="EJ36" i="23" s="1"/>
  <c r="AI35" i="23"/>
  <c r="EJ35" i="23" s="1"/>
  <c r="AI34" i="23"/>
  <c r="EJ34" i="23" s="1"/>
  <c r="AI33" i="23"/>
  <c r="EJ33" i="23" s="1"/>
  <c r="AI32" i="23"/>
  <c r="EJ32" i="23" s="1"/>
  <c r="AI31" i="23"/>
  <c r="EJ31" i="23" s="1"/>
  <c r="AI30" i="23"/>
  <c r="EJ30" i="23" s="1"/>
  <c r="AI29" i="23"/>
  <c r="EJ29" i="23" s="1"/>
  <c r="AI28" i="23"/>
  <c r="EJ28" i="23" s="1"/>
  <c r="AI27" i="23"/>
  <c r="EJ27" i="23" s="1"/>
  <c r="AI26" i="23"/>
  <c r="EJ26" i="23" s="1"/>
  <c r="AI25" i="23"/>
  <c r="EJ25" i="23" s="1"/>
  <c r="AI24" i="23"/>
  <c r="EJ24" i="23" s="1"/>
  <c r="AI23" i="23"/>
  <c r="EJ23" i="23" s="1"/>
  <c r="AI22" i="23"/>
  <c r="EJ22" i="23" s="1"/>
  <c r="AI21" i="23"/>
  <c r="EJ21" i="23" s="1"/>
  <c r="AI20" i="23"/>
  <c r="EJ20" i="23" s="1"/>
  <c r="AI19" i="23"/>
  <c r="EJ19" i="23" s="1"/>
  <c r="AI18" i="23"/>
  <c r="EJ18" i="23" s="1"/>
  <c r="AI17" i="23"/>
  <c r="EJ17" i="23" s="1"/>
  <c r="AI16" i="23"/>
  <c r="EJ16" i="23" s="1"/>
  <c r="AI15" i="23"/>
  <c r="EJ15" i="23" s="1"/>
  <c r="AI14" i="23"/>
  <c r="EJ14" i="23" s="1"/>
  <c r="AI13" i="23"/>
  <c r="EJ13" i="23" s="1"/>
  <c r="AI12" i="23"/>
  <c r="EJ12" i="23" s="1"/>
  <c r="AI11" i="23"/>
  <c r="EJ11" i="23" s="1"/>
  <c r="AI10" i="23"/>
  <c r="EJ10" i="23" s="1"/>
  <c r="AI9" i="23"/>
  <c r="EJ9" i="23" s="1"/>
  <c r="AI8" i="23"/>
  <c r="EJ8" i="23" s="1"/>
  <c r="AI7" i="23"/>
  <c r="EJ7" i="23" s="1"/>
  <c r="AI6" i="23"/>
  <c r="EJ6" i="23" s="1"/>
  <c r="DO36" i="23"/>
  <c r="H24" i="1" s="1"/>
  <c r="DO35" i="23"/>
  <c r="DO34" i="23"/>
  <c r="DO33" i="23"/>
  <c r="DO32" i="23"/>
  <c r="DO31" i="23"/>
  <c r="DO30" i="23"/>
  <c r="DO29" i="23"/>
  <c r="DO28" i="23"/>
  <c r="DO27" i="23"/>
  <c r="DO26" i="23"/>
  <c r="DO25" i="23"/>
  <c r="DO24" i="23"/>
  <c r="DO23" i="23"/>
  <c r="DO22" i="23"/>
  <c r="DO21" i="23"/>
  <c r="DO20" i="23"/>
  <c r="DO19" i="23"/>
  <c r="DO18" i="23"/>
  <c r="DO17" i="23"/>
  <c r="DO16" i="23"/>
  <c r="DO15" i="23"/>
  <c r="DO14" i="23"/>
  <c r="DO13" i="23"/>
  <c r="DO12" i="23"/>
  <c r="DO11" i="23"/>
  <c r="DO10" i="23"/>
  <c r="DO9" i="23"/>
  <c r="DO8" i="23"/>
  <c r="DO7" i="23"/>
  <c r="DO6" i="23"/>
  <c r="DN37" i="23"/>
  <c r="DN6" i="23"/>
  <c r="CV36" i="23"/>
  <c r="CV35" i="23"/>
  <c r="CV34" i="23"/>
  <c r="CV33" i="23"/>
  <c r="CV32" i="23"/>
  <c r="CV31" i="23"/>
  <c r="CV30" i="23"/>
  <c r="CV29" i="23"/>
  <c r="CV28" i="23"/>
  <c r="CV27" i="23"/>
  <c r="CV26" i="23"/>
  <c r="CV25" i="23"/>
  <c r="CV24" i="23"/>
  <c r="CV23" i="23"/>
  <c r="CV22" i="23"/>
  <c r="CV21" i="23"/>
  <c r="CV20" i="23"/>
  <c r="CV19" i="23"/>
  <c r="CV18" i="23"/>
  <c r="CV17" i="23"/>
  <c r="CV16" i="23"/>
  <c r="CV15" i="23"/>
  <c r="CV14" i="23"/>
  <c r="CV13" i="23"/>
  <c r="CV12" i="23"/>
  <c r="CV11" i="23"/>
  <c r="CV10" i="23"/>
  <c r="CV9" i="23"/>
  <c r="CV8" i="23"/>
  <c r="CV7" i="23"/>
  <c r="CV6" i="23"/>
  <c r="CQ37" i="23"/>
  <c r="CQ6" i="23"/>
  <c r="BS34" i="23"/>
  <c r="BS33" i="23"/>
  <c r="BS32" i="23"/>
  <c r="BS31" i="23"/>
  <c r="BS30" i="23"/>
  <c r="BS29" i="23"/>
  <c r="BS28" i="23"/>
  <c r="BS27" i="23"/>
  <c r="BS26" i="23"/>
  <c r="BS25" i="23"/>
  <c r="BS24" i="23"/>
  <c r="BS23" i="23"/>
  <c r="BS22" i="23"/>
  <c r="BS21" i="23"/>
  <c r="BS20" i="23"/>
  <c r="BS19" i="23"/>
  <c r="BS18" i="23"/>
  <c r="BS17" i="23"/>
  <c r="BS16" i="23"/>
  <c r="BS15" i="23"/>
  <c r="BS14" i="23"/>
  <c r="BS13" i="23"/>
  <c r="BS12" i="23"/>
  <c r="BS11" i="23"/>
  <c r="BS10" i="23"/>
  <c r="BS9" i="23"/>
  <c r="BS8" i="23"/>
  <c r="BS7" i="23"/>
  <c r="BS6" i="23"/>
  <c r="BO37" i="23"/>
  <c r="BO6" i="23"/>
  <c r="AQ36" i="23"/>
  <c r="AQ35" i="23"/>
  <c r="AQ34" i="23"/>
  <c r="AQ33" i="23"/>
  <c r="AQ32" i="23"/>
  <c r="AQ31" i="23"/>
  <c r="AQ30" i="23"/>
  <c r="AQ29" i="23"/>
  <c r="AQ28" i="23"/>
  <c r="AQ27" i="23"/>
  <c r="AQ26" i="23"/>
  <c r="AQ25" i="23"/>
  <c r="AQ24" i="23"/>
  <c r="AQ23" i="23"/>
  <c r="AQ22" i="23"/>
  <c r="AQ21" i="23"/>
  <c r="AQ20" i="23"/>
  <c r="AQ19" i="23"/>
  <c r="AQ18" i="23"/>
  <c r="AQ17" i="23"/>
  <c r="AQ16" i="23"/>
  <c r="AQ15" i="23"/>
  <c r="AQ14" i="23"/>
  <c r="AQ13" i="23"/>
  <c r="AQ12" i="23"/>
  <c r="AQ11" i="23"/>
  <c r="AQ10" i="23"/>
  <c r="AQ9" i="23"/>
  <c r="AQ8" i="23"/>
  <c r="AQ7" i="23"/>
  <c r="AQ6" i="23"/>
  <c r="AX36" i="23"/>
  <c r="AX35" i="23"/>
  <c r="AX34" i="23"/>
  <c r="AX33" i="23"/>
  <c r="AX32" i="23"/>
  <c r="AX31" i="23"/>
  <c r="AX30" i="23"/>
  <c r="AX29" i="23"/>
  <c r="AX28" i="23"/>
  <c r="AX27" i="23"/>
  <c r="AX26" i="23"/>
  <c r="AX25" i="23"/>
  <c r="AX24" i="23"/>
  <c r="AX23" i="23"/>
  <c r="AX22" i="23"/>
  <c r="AX21" i="23"/>
  <c r="AX20" i="23"/>
  <c r="AX19" i="23"/>
  <c r="AX18" i="23"/>
  <c r="AX17" i="23"/>
  <c r="AX16" i="23"/>
  <c r="AX15" i="23"/>
  <c r="AX14" i="23"/>
  <c r="AX13" i="23"/>
  <c r="AX12" i="23"/>
  <c r="AX11" i="23"/>
  <c r="AX10" i="23"/>
  <c r="AX9" i="23"/>
  <c r="AX8" i="23"/>
  <c r="AX7" i="23"/>
  <c r="AX6" i="23"/>
  <c r="AT37" i="23"/>
  <c r="AT6" i="23"/>
  <c r="CR36" i="23"/>
  <c r="CR35" i="23"/>
  <c r="CR34" i="23"/>
  <c r="CR33" i="23"/>
  <c r="CR32" i="23"/>
  <c r="CR31" i="23"/>
  <c r="CR30" i="23"/>
  <c r="M29" i="23"/>
  <c r="CR29" i="23" s="1"/>
  <c r="M28" i="23"/>
  <c r="CR28" i="23" s="1"/>
  <c r="M27" i="23"/>
  <c r="CR27" i="23" s="1"/>
  <c r="M26" i="23"/>
  <c r="CR26" i="23" s="1"/>
  <c r="M25" i="23"/>
  <c r="CR25" i="23" s="1"/>
  <c r="M24" i="23"/>
  <c r="CR24" i="23" s="1"/>
  <c r="M23" i="23"/>
  <c r="CR23" i="23" s="1"/>
  <c r="M22" i="23"/>
  <c r="CR22" i="23" s="1"/>
  <c r="M21" i="23"/>
  <c r="CR21" i="23" s="1"/>
  <c r="M20" i="23"/>
  <c r="CR20" i="23" s="1"/>
  <c r="M19" i="23"/>
  <c r="CR19" i="23" s="1"/>
  <c r="M18" i="23"/>
  <c r="CR18" i="23" s="1"/>
  <c r="M17" i="23"/>
  <c r="CR17" i="23" s="1"/>
  <c r="M16" i="23"/>
  <c r="CR16" i="23" s="1"/>
  <c r="M15" i="23"/>
  <c r="CR15" i="23" s="1"/>
  <c r="M14" i="23"/>
  <c r="CR14" i="23" s="1"/>
  <c r="M13" i="23"/>
  <c r="CR13" i="23" s="1"/>
  <c r="M12" i="23"/>
  <c r="CR12" i="23" s="1"/>
  <c r="M11" i="23"/>
  <c r="CR11" i="23" s="1"/>
  <c r="M10" i="23"/>
  <c r="CR10" i="23" s="1"/>
  <c r="M9" i="23"/>
  <c r="CR9" i="23" s="1"/>
  <c r="M8" i="23"/>
  <c r="CR8" i="23" s="1"/>
  <c r="M7" i="23"/>
  <c r="CR7" i="23" s="1"/>
  <c r="M6" i="23"/>
  <c r="CR6" i="23" s="1"/>
  <c r="J7" i="23"/>
  <c r="AU7" i="23" s="1"/>
  <c r="J8" i="23"/>
  <c r="AU8" i="23" s="1"/>
  <c r="J9" i="23"/>
  <c r="AU9" i="23" s="1"/>
  <c r="J10" i="23"/>
  <c r="AU10" i="23" s="1"/>
  <c r="J11" i="23"/>
  <c r="AU11" i="23" s="1"/>
  <c r="J12" i="23"/>
  <c r="AU12" i="23" s="1"/>
  <c r="J13" i="23"/>
  <c r="AU13" i="23" s="1"/>
  <c r="J14" i="23"/>
  <c r="AU14" i="23" s="1"/>
  <c r="J15" i="23"/>
  <c r="AU15" i="23" s="1"/>
  <c r="J16" i="23"/>
  <c r="AU16" i="23" s="1"/>
  <c r="J17" i="23"/>
  <c r="AU17" i="23" s="1"/>
  <c r="J18" i="23"/>
  <c r="AU18" i="23" s="1"/>
  <c r="J19" i="23"/>
  <c r="AU19" i="23" s="1"/>
  <c r="J20" i="23"/>
  <c r="AU20" i="23" s="1"/>
  <c r="J21" i="23"/>
  <c r="AU21" i="23" s="1"/>
  <c r="J22" i="23"/>
  <c r="AU22" i="23" s="1"/>
  <c r="J23" i="23"/>
  <c r="AU23" i="23" s="1"/>
  <c r="J24" i="23"/>
  <c r="AU24" i="23" s="1"/>
  <c r="J25" i="23"/>
  <c r="AU25" i="23" s="1"/>
  <c r="J26" i="23"/>
  <c r="AU26" i="23" s="1"/>
  <c r="J27" i="23"/>
  <c r="AU27" i="23" s="1"/>
  <c r="J28" i="23"/>
  <c r="AU28" i="23" s="1"/>
  <c r="J29" i="23"/>
  <c r="AU29" i="23" s="1"/>
  <c r="J30" i="23"/>
  <c r="AU30" i="23" s="1"/>
  <c r="J31" i="23"/>
  <c r="AU31" i="23" s="1"/>
  <c r="J32" i="23"/>
  <c r="AU32" i="23" s="1"/>
  <c r="J33" i="23"/>
  <c r="AU33" i="23" s="1"/>
  <c r="J34" i="23"/>
  <c r="AU34" i="23" s="1"/>
  <c r="J6" i="23"/>
  <c r="AU6" i="23" s="1"/>
  <c r="BP36" i="23"/>
  <c r="G35" i="23"/>
  <c r="BP35" i="23" s="1"/>
  <c r="G34" i="23"/>
  <c r="BP34" i="23" s="1"/>
  <c r="G33" i="23"/>
  <c r="BP33" i="23" s="1"/>
  <c r="G32" i="23"/>
  <c r="BP32" i="23" s="1"/>
  <c r="G31" i="23"/>
  <c r="BP31" i="23" s="1"/>
  <c r="G30" i="23"/>
  <c r="BP30" i="23" s="1"/>
  <c r="G29" i="23"/>
  <c r="BP29" i="23" s="1"/>
  <c r="G28" i="23"/>
  <c r="BP28" i="23" s="1"/>
  <c r="G27" i="23"/>
  <c r="BP27" i="23" s="1"/>
  <c r="G26" i="23"/>
  <c r="BP26" i="23" s="1"/>
  <c r="G25" i="23"/>
  <c r="BP25" i="23" s="1"/>
  <c r="G24" i="23"/>
  <c r="BP24" i="23" s="1"/>
  <c r="G23" i="23"/>
  <c r="BP23" i="23" s="1"/>
  <c r="G22" i="23"/>
  <c r="BP22" i="23" s="1"/>
  <c r="G21" i="23"/>
  <c r="BP21" i="23" s="1"/>
  <c r="G20" i="23"/>
  <c r="BP20" i="23" s="1"/>
  <c r="G19" i="23"/>
  <c r="BP19" i="23" s="1"/>
  <c r="G18" i="23"/>
  <c r="BP18" i="23" s="1"/>
  <c r="G17" i="23"/>
  <c r="BP17" i="23" s="1"/>
  <c r="G16" i="23"/>
  <c r="BP16" i="23" s="1"/>
  <c r="G15" i="23"/>
  <c r="BP15" i="23" s="1"/>
  <c r="G14" i="23"/>
  <c r="BP14" i="23" s="1"/>
  <c r="G13" i="23"/>
  <c r="BP13" i="23" s="1"/>
  <c r="G12" i="23"/>
  <c r="BP12" i="23" s="1"/>
  <c r="G11" i="23"/>
  <c r="BP11" i="23" s="1"/>
  <c r="G10" i="23"/>
  <c r="BP10" i="23" s="1"/>
  <c r="G9" i="23"/>
  <c r="BP9" i="23" s="1"/>
  <c r="G8" i="23"/>
  <c r="BP8" i="23" s="1"/>
  <c r="G7" i="23"/>
  <c r="BP7" i="23" s="1"/>
  <c r="G6" i="23"/>
  <c r="BP6" i="23" s="1"/>
  <c r="EN6" i="23" l="1"/>
  <c r="EI7" i="23" s="1"/>
  <c r="EN7" i="23" s="1"/>
  <c r="EI8" i="23" s="1"/>
  <c r="EN8" i="23" s="1"/>
  <c r="EI9" i="23" s="1"/>
  <c r="EN9" i="23" s="1"/>
  <c r="EI10" i="23" s="1"/>
  <c r="EN10" i="23" s="1"/>
  <c r="EI11" i="23" s="1"/>
  <c r="EN11" i="23" s="1"/>
  <c r="EI12" i="23" s="1"/>
  <c r="EN12" i="23" s="1"/>
  <c r="EI13" i="23" s="1"/>
  <c r="EN13" i="23" s="1"/>
  <c r="EI14" i="23" s="1"/>
  <c r="EN14" i="23" s="1"/>
  <c r="EI15" i="23" s="1"/>
  <c r="EN15" i="23" s="1"/>
  <c r="EI16" i="23" s="1"/>
  <c r="EN16" i="23" s="1"/>
  <c r="EI17" i="23" s="1"/>
  <c r="EN17" i="23" s="1"/>
  <c r="EI18" i="23" s="1"/>
  <c r="EN18" i="23" s="1"/>
  <c r="EI19" i="23" s="1"/>
  <c r="EN19" i="23" s="1"/>
  <c r="EI20" i="23" s="1"/>
  <c r="EN20" i="23" s="1"/>
  <c r="EI21" i="23" s="1"/>
  <c r="EN21" i="23" s="1"/>
  <c r="EI22" i="23" s="1"/>
  <c r="EN22" i="23" s="1"/>
  <c r="EI23" i="23" s="1"/>
  <c r="EN23" i="23" s="1"/>
  <c r="EI24" i="23" s="1"/>
  <c r="EN24" i="23" s="1"/>
  <c r="EI25" i="23" s="1"/>
  <c r="EN25" i="23" s="1"/>
  <c r="EI26" i="23" s="1"/>
  <c r="EN26" i="23" s="1"/>
  <c r="EI27" i="23" s="1"/>
  <c r="EN27" i="23" s="1"/>
  <c r="EI28" i="23" s="1"/>
  <c r="EN28" i="23" s="1"/>
  <c r="EI29" i="23" s="1"/>
  <c r="EN29" i="23" s="1"/>
  <c r="EI30" i="23" s="1"/>
  <c r="EN30" i="23" s="1"/>
  <c r="EI31" i="23" s="1"/>
  <c r="EN31" i="23" s="1"/>
  <c r="EI32" i="23" s="1"/>
  <c r="EN32" i="23" s="1"/>
  <c r="EI33" i="23" s="1"/>
  <c r="EN33" i="23" s="1"/>
  <c r="EI34" i="23" s="1"/>
  <c r="EN34" i="23" s="1"/>
  <c r="EI35" i="23" s="1"/>
  <c r="EN35" i="23" s="1"/>
  <c r="EI36" i="23" s="1"/>
  <c r="EN36" i="23" s="1"/>
  <c r="CW6" i="23"/>
  <c r="CQ7" i="23" s="1"/>
  <c r="CW7" i="23" s="1"/>
  <c r="BT6" i="23"/>
  <c r="BO7" i="23" s="1"/>
  <c r="BT7" i="23" s="1"/>
  <c r="BO8" i="23" s="1"/>
  <c r="BT8" i="23" s="1"/>
  <c r="BO9" i="23" s="1"/>
  <c r="BT9" i="23" s="1"/>
  <c r="BO10" i="23" s="1"/>
  <c r="BT10" i="23" s="1"/>
  <c r="BO11" i="23" s="1"/>
  <c r="BT11" i="23" s="1"/>
  <c r="BO12" i="23" s="1"/>
  <c r="BT12" i="23" s="1"/>
  <c r="BO13" i="23" s="1"/>
  <c r="BT13" i="23" s="1"/>
  <c r="BO14" i="23" s="1"/>
  <c r="BT14" i="23" s="1"/>
  <c r="BO15" i="23" s="1"/>
  <c r="BT15" i="23" s="1"/>
  <c r="BO16" i="23" s="1"/>
  <c r="BT16" i="23" s="1"/>
  <c r="BO17" i="23" s="1"/>
  <c r="BT17" i="23" s="1"/>
  <c r="BO18" i="23" s="1"/>
  <c r="BT18" i="23" s="1"/>
  <c r="BO19" i="23" s="1"/>
  <c r="BT19" i="23" s="1"/>
  <c r="BO20" i="23" s="1"/>
  <c r="BT20" i="23" s="1"/>
  <c r="BO21" i="23" s="1"/>
  <c r="BT21" i="23" s="1"/>
  <c r="BO22" i="23" s="1"/>
  <c r="BT22" i="23" s="1"/>
  <c r="BO23" i="23" s="1"/>
  <c r="BT23" i="23" s="1"/>
  <c r="BO24" i="23" s="1"/>
  <c r="BT24" i="23" s="1"/>
  <c r="BO25" i="23" s="1"/>
  <c r="BT25" i="23" s="1"/>
  <c r="BO26" i="23" s="1"/>
  <c r="BT26" i="23" s="1"/>
  <c r="BO27" i="23" s="1"/>
  <c r="BT27" i="23" s="1"/>
  <c r="BO28" i="23" s="1"/>
  <c r="BT28" i="23" s="1"/>
  <c r="BO29" i="23" s="1"/>
  <c r="BT29" i="23" s="1"/>
  <c r="BO30" i="23" s="1"/>
  <c r="BT30" i="23" s="1"/>
  <c r="BO31" i="23" s="1"/>
  <c r="BT31" i="23" s="1"/>
  <c r="BO32" i="23" s="1"/>
  <c r="BT32" i="23" s="1"/>
  <c r="BO33" i="23" s="1"/>
  <c r="BT33" i="23" s="1"/>
  <c r="BO34" i="23" s="1"/>
  <c r="BT34" i="23" s="1"/>
  <c r="BO35" i="23" s="1"/>
  <c r="BT35" i="23" s="1"/>
  <c r="BO36" i="23" s="1"/>
  <c r="BT36" i="23" s="1"/>
  <c r="AY6" i="23"/>
  <c r="AT7" i="23" s="1"/>
  <c r="AY7" i="23" s="1"/>
  <c r="AT8" i="23" s="1"/>
  <c r="AY8" i="23" s="1"/>
  <c r="AT9" i="23" s="1"/>
  <c r="AY9" i="23" s="1"/>
  <c r="AT10" i="23" s="1"/>
  <c r="AY10" i="23" s="1"/>
  <c r="AT11" i="23" s="1"/>
  <c r="AY11" i="23" s="1"/>
  <c r="AT12" i="23" s="1"/>
  <c r="AY12" i="23" s="1"/>
  <c r="AT13" i="23" s="1"/>
  <c r="AY13" i="23" s="1"/>
  <c r="AT14" i="23" s="1"/>
  <c r="AY14" i="23" s="1"/>
  <c r="AT15" i="23" s="1"/>
  <c r="AY15" i="23" s="1"/>
  <c r="AT16" i="23" s="1"/>
  <c r="AY16" i="23" s="1"/>
  <c r="AT17" i="23" s="1"/>
  <c r="AY17" i="23" s="1"/>
  <c r="AT18" i="23" s="1"/>
  <c r="AY18" i="23" s="1"/>
  <c r="AT19" i="23" s="1"/>
  <c r="AY19" i="23" s="1"/>
  <c r="AT20" i="23" s="1"/>
  <c r="AY20" i="23" s="1"/>
  <c r="AT21" i="23" s="1"/>
  <c r="AY21" i="23" s="1"/>
  <c r="AT22" i="23" s="1"/>
  <c r="AY22" i="23" s="1"/>
  <c r="AT23" i="23" s="1"/>
  <c r="AY23" i="23" s="1"/>
  <c r="AT24" i="23" s="1"/>
  <c r="AY24" i="23" s="1"/>
  <c r="AT25" i="23" s="1"/>
  <c r="AY25" i="23" s="1"/>
  <c r="AT26" i="23" s="1"/>
  <c r="AY26" i="23" s="1"/>
  <c r="AT27" i="23" s="1"/>
  <c r="AY27" i="23" s="1"/>
  <c r="AT28" i="23" s="1"/>
  <c r="AY28" i="23" s="1"/>
  <c r="AT29" i="23" s="1"/>
  <c r="AY29" i="23" s="1"/>
  <c r="AT30" i="23" s="1"/>
  <c r="AY30" i="23" s="1"/>
  <c r="AT31" i="23" s="1"/>
  <c r="AY31" i="23" s="1"/>
  <c r="AT32" i="23" s="1"/>
  <c r="AY32" i="23" s="1"/>
  <c r="AT33" i="23" s="1"/>
  <c r="AY33" i="23" s="1"/>
  <c r="AT34" i="23" s="1"/>
  <c r="AY34" i="23" s="1"/>
  <c r="AT35" i="23" s="1"/>
  <c r="AY35" i="23" s="1"/>
  <c r="AT36" i="23" s="1"/>
  <c r="AY36" i="23" s="1"/>
  <c r="E54" i="41" l="1"/>
  <c r="E55" i="41"/>
  <c r="E57" i="41"/>
  <c r="E58" i="41"/>
  <c r="E59" i="41"/>
  <c r="E60" i="41"/>
  <c r="E61" i="41"/>
  <c r="E62" i="41"/>
  <c r="E63" i="41" l="1"/>
  <c r="E23" i="41" l="1"/>
  <c r="R23" i="41"/>
  <c r="Q23" i="41"/>
  <c r="P23" i="41"/>
  <c r="O23" i="41"/>
  <c r="N23" i="41"/>
  <c r="J1" i="41"/>
  <c r="G1" i="41"/>
  <c r="E1" i="41"/>
  <c r="M5" i="41" l="1"/>
  <c r="M6" i="41" l="1"/>
  <c r="M7" i="41" l="1"/>
  <c r="M8" i="41" l="1"/>
  <c r="M9" i="41" l="1"/>
  <c r="M10" i="41" l="1"/>
  <c r="O32" i="2"/>
  <c r="Q53" i="1" s="1"/>
  <c r="M11" i="41" l="1"/>
  <c r="M12" i="41" l="1"/>
  <c r="M13" i="41" l="1"/>
  <c r="M14" i="41" l="1"/>
  <c r="M15" i="41" l="1"/>
  <c r="M16" i="41" l="1"/>
  <c r="E2" i="5"/>
  <c r="M17" i="41" l="1"/>
  <c r="M18" i="41" l="1"/>
  <c r="M19" i="41" l="1"/>
  <c r="M20" i="41" l="1"/>
  <c r="A6" i="23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E13" i="23"/>
  <c r="AG35" i="23"/>
  <c r="A5" i="10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H37" i="10" s="1"/>
  <c r="H41" i="10" s="1"/>
  <c r="R33" i="1" s="1"/>
  <c r="F34" i="10"/>
  <c r="I34" i="10" s="1"/>
  <c r="F6" i="10"/>
  <c r="I6" i="10" s="1"/>
  <c r="F7" i="10"/>
  <c r="I7" i="10" s="1"/>
  <c r="F8" i="10"/>
  <c r="I8" i="10" s="1"/>
  <c r="F9" i="10"/>
  <c r="I9" i="10" s="1"/>
  <c r="F10" i="10"/>
  <c r="I10" i="10" s="1"/>
  <c r="F11" i="10"/>
  <c r="I11" i="10" s="1"/>
  <c r="F12" i="10"/>
  <c r="I12" i="10" s="1"/>
  <c r="F13" i="10"/>
  <c r="I13" i="10" s="1"/>
  <c r="F14" i="10"/>
  <c r="I14" i="10" s="1"/>
  <c r="F15" i="10"/>
  <c r="I15" i="10" s="1"/>
  <c r="F16" i="10"/>
  <c r="I16" i="10" s="1"/>
  <c r="F17" i="10"/>
  <c r="I17" i="10" s="1"/>
  <c r="F18" i="10"/>
  <c r="I18" i="10" s="1"/>
  <c r="F19" i="10"/>
  <c r="I19" i="10" s="1"/>
  <c r="F20" i="10"/>
  <c r="I20" i="10" s="1"/>
  <c r="F21" i="10"/>
  <c r="I21" i="10" s="1"/>
  <c r="F22" i="10"/>
  <c r="I22" i="10" s="1"/>
  <c r="F23" i="10"/>
  <c r="I23" i="10" s="1"/>
  <c r="F24" i="10"/>
  <c r="I24" i="10" s="1"/>
  <c r="F25" i="10"/>
  <c r="I25" i="10" s="1"/>
  <c r="F26" i="10"/>
  <c r="I26" i="10" s="1"/>
  <c r="F27" i="10"/>
  <c r="I27" i="10" s="1"/>
  <c r="F28" i="10"/>
  <c r="I28" i="10" s="1"/>
  <c r="F29" i="10"/>
  <c r="I29" i="10" s="1"/>
  <c r="F30" i="10"/>
  <c r="I30" i="10" s="1"/>
  <c r="F31" i="10"/>
  <c r="I31" i="10" s="1"/>
  <c r="F32" i="10"/>
  <c r="I32" i="10" s="1"/>
  <c r="F33" i="10"/>
  <c r="I33" i="10" s="1"/>
  <c r="D33" i="1"/>
  <c r="B33" i="10"/>
  <c r="E33" i="10" s="1"/>
  <c r="B34" i="10"/>
  <c r="E34" i="10" s="1"/>
  <c r="B6" i="10"/>
  <c r="E6" i="10" s="1"/>
  <c r="B7" i="10"/>
  <c r="E7" i="10" s="1"/>
  <c r="B8" i="10"/>
  <c r="E8" i="10" s="1"/>
  <c r="B9" i="10"/>
  <c r="E9" i="10" s="1"/>
  <c r="B10" i="10"/>
  <c r="E10" i="10" s="1"/>
  <c r="B11" i="10"/>
  <c r="E11" i="10" s="1"/>
  <c r="B12" i="10"/>
  <c r="E12" i="10" s="1"/>
  <c r="B13" i="10"/>
  <c r="E13" i="10" s="1"/>
  <c r="B14" i="10"/>
  <c r="E14" i="10" s="1"/>
  <c r="B15" i="10"/>
  <c r="E15" i="10" s="1"/>
  <c r="B16" i="10"/>
  <c r="E16" i="10" s="1"/>
  <c r="B17" i="10"/>
  <c r="E17" i="10" s="1"/>
  <c r="B18" i="10"/>
  <c r="E18" i="10" s="1"/>
  <c r="B19" i="10"/>
  <c r="E19" i="10" s="1"/>
  <c r="B20" i="10"/>
  <c r="E20" i="10" s="1"/>
  <c r="B21" i="10"/>
  <c r="E21" i="10" s="1"/>
  <c r="B22" i="10"/>
  <c r="E22" i="10" s="1"/>
  <c r="B23" i="10"/>
  <c r="E23" i="10" s="1"/>
  <c r="B24" i="10"/>
  <c r="E24" i="10" s="1"/>
  <c r="B25" i="10"/>
  <c r="E25" i="10" s="1"/>
  <c r="B26" i="10"/>
  <c r="E26" i="10" s="1"/>
  <c r="B27" i="10"/>
  <c r="E27" i="10" s="1"/>
  <c r="B28" i="10"/>
  <c r="E28" i="10" s="1"/>
  <c r="B29" i="10"/>
  <c r="E29" i="10" s="1"/>
  <c r="B30" i="10"/>
  <c r="E30" i="10" s="1"/>
  <c r="B31" i="10"/>
  <c r="E31" i="10" s="1"/>
  <c r="B32" i="10"/>
  <c r="E32" i="10" s="1"/>
  <c r="D38" i="10"/>
  <c r="D32" i="1"/>
  <c r="A6" i="6"/>
  <c r="A7" i="6" s="1"/>
  <c r="A8" i="6" s="1"/>
  <c r="G38" i="6"/>
  <c r="D53" i="1" s="1"/>
  <c r="F34" i="6"/>
  <c r="I34" i="6" s="1"/>
  <c r="F6" i="6"/>
  <c r="I6" i="6" s="1"/>
  <c r="F7" i="6"/>
  <c r="I7" i="6" s="1"/>
  <c r="F8" i="6"/>
  <c r="I8" i="6" s="1"/>
  <c r="F9" i="6"/>
  <c r="I9" i="6" s="1"/>
  <c r="F10" i="6"/>
  <c r="I10" i="6" s="1"/>
  <c r="F11" i="6"/>
  <c r="I11" i="6" s="1"/>
  <c r="F12" i="6"/>
  <c r="I12" i="6" s="1"/>
  <c r="F13" i="6"/>
  <c r="I13" i="6" s="1"/>
  <c r="F14" i="6"/>
  <c r="I14" i="6" s="1"/>
  <c r="F15" i="6"/>
  <c r="I15" i="6" s="1"/>
  <c r="F16" i="6"/>
  <c r="I16" i="6" s="1"/>
  <c r="F17" i="6"/>
  <c r="I17" i="6" s="1"/>
  <c r="F18" i="6"/>
  <c r="I18" i="6" s="1"/>
  <c r="F19" i="6"/>
  <c r="I19" i="6" s="1"/>
  <c r="F20" i="6"/>
  <c r="I20" i="6" s="1"/>
  <c r="F21" i="6"/>
  <c r="I21" i="6" s="1"/>
  <c r="F22" i="6"/>
  <c r="I22" i="6" s="1"/>
  <c r="F23" i="6"/>
  <c r="I23" i="6" s="1"/>
  <c r="F24" i="6"/>
  <c r="I24" i="6" s="1"/>
  <c r="F25" i="6"/>
  <c r="I25" i="6" s="1"/>
  <c r="F26" i="6"/>
  <c r="I26" i="6" s="1"/>
  <c r="F27" i="6"/>
  <c r="I27" i="6" s="1"/>
  <c r="F28" i="6"/>
  <c r="I28" i="6" s="1"/>
  <c r="F29" i="6"/>
  <c r="I29" i="6" s="1"/>
  <c r="F30" i="6"/>
  <c r="I30" i="6" s="1"/>
  <c r="F31" i="6"/>
  <c r="I31" i="6" s="1"/>
  <c r="F32" i="6"/>
  <c r="I32" i="6" s="1"/>
  <c r="F33" i="6"/>
  <c r="I33" i="6" s="1"/>
  <c r="D38" i="6"/>
  <c r="D54" i="1" s="1"/>
  <c r="B34" i="6"/>
  <c r="E34" i="6" s="1"/>
  <c r="B6" i="6"/>
  <c r="E6" i="6" s="1"/>
  <c r="B7" i="6"/>
  <c r="E7" i="6" s="1"/>
  <c r="B8" i="6"/>
  <c r="E8" i="6" s="1"/>
  <c r="B9" i="6"/>
  <c r="E9" i="6" s="1"/>
  <c r="B10" i="6"/>
  <c r="E10" i="6" s="1"/>
  <c r="B11" i="6"/>
  <c r="E11" i="6" s="1"/>
  <c r="B12" i="6"/>
  <c r="E12" i="6" s="1"/>
  <c r="B13" i="6"/>
  <c r="E13" i="6" s="1"/>
  <c r="B14" i="6"/>
  <c r="E14" i="6" s="1"/>
  <c r="B15" i="6"/>
  <c r="E15" i="6" s="1"/>
  <c r="B16" i="6"/>
  <c r="E16" i="6" s="1"/>
  <c r="B17" i="6"/>
  <c r="E17" i="6" s="1"/>
  <c r="B18" i="6"/>
  <c r="E18" i="6" s="1"/>
  <c r="B19" i="6"/>
  <c r="E19" i="6" s="1"/>
  <c r="B20" i="6"/>
  <c r="E20" i="6" s="1"/>
  <c r="B21" i="6"/>
  <c r="E21" i="6" s="1"/>
  <c r="B22" i="6"/>
  <c r="E22" i="6" s="1"/>
  <c r="B23" i="6"/>
  <c r="E23" i="6" s="1"/>
  <c r="B24" i="6"/>
  <c r="E24" i="6" s="1"/>
  <c r="B25" i="6"/>
  <c r="E25" i="6" s="1"/>
  <c r="B26" i="6"/>
  <c r="E26" i="6" s="1"/>
  <c r="B27" i="6"/>
  <c r="E27" i="6" s="1"/>
  <c r="B28" i="6"/>
  <c r="E28" i="6" s="1"/>
  <c r="B29" i="6"/>
  <c r="E29" i="6" s="1"/>
  <c r="B30" i="6"/>
  <c r="E30" i="6" s="1"/>
  <c r="B31" i="6"/>
  <c r="E31" i="6" s="1"/>
  <c r="B32" i="6"/>
  <c r="E32" i="6" s="1"/>
  <c r="B33" i="6"/>
  <c r="E33" i="6" s="1"/>
  <c r="K54" i="1"/>
  <c r="I15" i="40"/>
  <c r="L15" i="40"/>
  <c r="Q15" i="40"/>
  <c r="R15" i="40"/>
  <c r="H15" i="40"/>
  <c r="K15" i="40"/>
  <c r="M7" i="40"/>
  <c r="O77" i="2"/>
  <c r="J41" i="7"/>
  <c r="D30" i="1"/>
  <c r="D28" i="1"/>
  <c r="D27" i="1"/>
  <c r="D25" i="1"/>
  <c r="D23" i="1"/>
  <c r="D21" i="1"/>
  <c r="D18" i="1"/>
  <c r="D16" i="1"/>
  <c r="D12" i="1"/>
  <c r="D10" i="1"/>
  <c r="R102" i="2"/>
  <c r="D6" i="39"/>
  <c r="D7" i="39"/>
  <c r="E7" i="39"/>
  <c r="D8" i="39"/>
  <c r="E8" i="39"/>
  <c r="D10" i="39"/>
  <c r="D11" i="39"/>
  <c r="D5" i="39"/>
  <c r="E5" i="39"/>
  <c r="BE7" i="23"/>
  <c r="BE8" i="23"/>
  <c r="BE9" i="23"/>
  <c r="BE10" i="23"/>
  <c r="BE11" i="23"/>
  <c r="BE12" i="23"/>
  <c r="BE13" i="23"/>
  <c r="BE14" i="23"/>
  <c r="BE15" i="23"/>
  <c r="BE16" i="23"/>
  <c r="BE17" i="23"/>
  <c r="BE18" i="23"/>
  <c r="BE19" i="23"/>
  <c r="BE20" i="23"/>
  <c r="BE21" i="23"/>
  <c r="BE22" i="23"/>
  <c r="BE23" i="23"/>
  <c r="BE24" i="23"/>
  <c r="BE25" i="23"/>
  <c r="BE26" i="23"/>
  <c r="BE27" i="23"/>
  <c r="BE28" i="23"/>
  <c r="BE29" i="23"/>
  <c r="BE30" i="23"/>
  <c r="BE31" i="23"/>
  <c r="BE32" i="23"/>
  <c r="BE33" i="23"/>
  <c r="BE34" i="23"/>
  <c r="BE35" i="23"/>
  <c r="BE36" i="23"/>
  <c r="BE6" i="23"/>
  <c r="BA37" i="23"/>
  <c r="AM37" i="23"/>
  <c r="AM6" i="23"/>
  <c r="ET7" i="23"/>
  <c r="ET8" i="23"/>
  <c r="ET9" i="23"/>
  <c r="ET10" i="23"/>
  <c r="ET11" i="23"/>
  <c r="ET12" i="23"/>
  <c r="ET13" i="23"/>
  <c r="ET14" i="23"/>
  <c r="ET15" i="23"/>
  <c r="ET16" i="23"/>
  <c r="ET17" i="23"/>
  <c r="ET18" i="23"/>
  <c r="ET19" i="23"/>
  <c r="ET20" i="23"/>
  <c r="ET21" i="23"/>
  <c r="ET22" i="23"/>
  <c r="ET23" i="23"/>
  <c r="ET24" i="23"/>
  <c r="ET25" i="23"/>
  <c r="ET26" i="23"/>
  <c r="ET27" i="23"/>
  <c r="ET28" i="23"/>
  <c r="ET29" i="23"/>
  <c r="ET30" i="23"/>
  <c r="ET31" i="23"/>
  <c r="ET32" i="23"/>
  <c r="ET33" i="23"/>
  <c r="ET34" i="23"/>
  <c r="ET35" i="23"/>
  <c r="ET36" i="23"/>
  <c r="ET6" i="23"/>
  <c r="EF7" i="23"/>
  <c r="EF8" i="23"/>
  <c r="EF9" i="23"/>
  <c r="EF10" i="23"/>
  <c r="EF11" i="23"/>
  <c r="EF12" i="23"/>
  <c r="EF13" i="23"/>
  <c r="EF14" i="23"/>
  <c r="EF15" i="23"/>
  <c r="EF16" i="23"/>
  <c r="EF17" i="23"/>
  <c r="EF18" i="23"/>
  <c r="EF19" i="23"/>
  <c r="EF20" i="23"/>
  <c r="EF21" i="23"/>
  <c r="EF22" i="23"/>
  <c r="EF23" i="23"/>
  <c r="EF24" i="23"/>
  <c r="EF25" i="23"/>
  <c r="EF26" i="23"/>
  <c r="EF27" i="23"/>
  <c r="EF28" i="23"/>
  <c r="EF29" i="23"/>
  <c r="EF30" i="23"/>
  <c r="EF31" i="23"/>
  <c r="EF32" i="23"/>
  <c r="EF33" i="23"/>
  <c r="EF34" i="23"/>
  <c r="EF35" i="23"/>
  <c r="EF36" i="23"/>
  <c r="EF6" i="23"/>
  <c r="DY7" i="23"/>
  <c r="DY8" i="23"/>
  <c r="DY9" i="23"/>
  <c r="DY10" i="23"/>
  <c r="DY11" i="23"/>
  <c r="DY12" i="23"/>
  <c r="DY13" i="23"/>
  <c r="DY14" i="23"/>
  <c r="DY15" i="23"/>
  <c r="DY16" i="23"/>
  <c r="DY17" i="23"/>
  <c r="DY18" i="23"/>
  <c r="DY19" i="23"/>
  <c r="DY20" i="23"/>
  <c r="DY21" i="23"/>
  <c r="DY22" i="23"/>
  <c r="DY23" i="23"/>
  <c r="DY24" i="23"/>
  <c r="DY25" i="23"/>
  <c r="DY26" i="23"/>
  <c r="DY27" i="23"/>
  <c r="DY28" i="23"/>
  <c r="DY29" i="23"/>
  <c r="DY30" i="23"/>
  <c r="DY31" i="23"/>
  <c r="DY32" i="23"/>
  <c r="DY33" i="23"/>
  <c r="DY34" i="23"/>
  <c r="DY35" i="23"/>
  <c r="DY36" i="23"/>
  <c r="DY6" i="23"/>
  <c r="DK7" i="23"/>
  <c r="DK8" i="23"/>
  <c r="DK9" i="23"/>
  <c r="DK10" i="23"/>
  <c r="DK11" i="23"/>
  <c r="DK12" i="23"/>
  <c r="DK13" i="23"/>
  <c r="DK14" i="23"/>
  <c r="DK15" i="23"/>
  <c r="DK16" i="23"/>
  <c r="DK17" i="23"/>
  <c r="DK18" i="23"/>
  <c r="DK19" i="23"/>
  <c r="DK20" i="23"/>
  <c r="DK21" i="23"/>
  <c r="DK22" i="23"/>
  <c r="DK23" i="23"/>
  <c r="DK24" i="23"/>
  <c r="DK25" i="23"/>
  <c r="DK26" i="23"/>
  <c r="DK27" i="23"/>
  <c r="DK28" i="23"/>
  <c r="DK29" i="23"/>
  <c r="DK30" i="23"/>
  <c r="DK31" i="23"/>
  <c r="DK32" i="23"/>
  <c r="DK33" i="23"/>
  <c r="DK34" i="23"/>
  <c r="DK35" i="23"/>
  <c r="DK36" i="23"/>
  <c r="DK6" i="23"/>
  <c r="DD7" i="23"/>
  <c r="DD8" i="23"/>
  <c r="DD9" i="23"/>
  <c r="DD10" i="23"/>
  <c r="DD11" i="23"/>
  <c r="DD12" i="23"/>
  <c r="DD13" i="23"/>
  <c r="DD14" i="23"/>
  <c r="DD15" i="23"/>
  <c r="DD16" i="23"/>
  <c r="DD17" i="23"/>
  <c r="DD18" i="23"/>
  <c r="DD19" i="23"/>
  <c r="DD20" i="23"/>
  <c r="DD21" i="23"/>
  <c r="DD22" i="23"/>
  <c r="DD23" i="23"/>
  <c r="DD24" i="23"/>
  <c r="DD25" i="23"/>
  <c r="DD26" i="23"/>
  <c r="DD27" i="23"/>
  <c r="DD28" i="23"/>
  <c r="DD29" i="23"/>
  <c r="DD30" i="23"/>
  <c r="DD31" i="23"/>
  <c r="DD32" i="23"/>
  <c r="DD33" i="23"/>
  <c r="DD34" i="23"/>
  <c r="DD35" i="23"/>
  <c r="DD36" i="23"/>
  <c r="DD6" i="23"/>
  <c r="BZ7" i="23"/>
  <c r="BZ8" i="23"/>
  <c r="BZ9" i="23"/>
  <c r="BZ10" i="23"/>
  <c r="BZ11" i="23"/>
  <c r="BZ12" i="23"/>
  <c r="BZ13" i="23"/>
  <c r="BZ14" i="23"/>
  <c r="BZ15" i="23"/>
  <c r="BZ16" i="23"/>
  <c r="BZ17" i="23"/>
  <c r="BZ18" i="23"/>
  <c r="BZ19" i="23"/>
  <c r="BZ20" i="23"/>
  <c r="BZ21" i="23"/>
  <c r="BZ22" i="23"/>
  <c r="BZ23" i="23"/>
  <c r="BZ24" i="23"/>
  <c r="BZ25" i="23"/>
  <c r="BZ26" i="23"/>
  <c r="BZ27" i="23"/>
  <c r="BZ28" i="23"/>
  <c r="BZ29" i="23"/>
  <c r="BZ30" i="23"/>
  <c r="BZ31" i="23"/>
  <c r="BZ32" i="23"/>
  <c r="BZ33" i="23"/>
  <c r="BZ34" i="23"/>
  <c r="BZ35" i="23"/>
  <c r="BZ36" i="23"/>
  <c r="BZ6" i="23"/>
  <c r="BL7" i="23"/>
  <c r="BL8" i="23"/>
  <c r="BL9" i="23"/>
  <c r="BL10" i="23"/>
  <c r="BL11" i="23"/>
  <c r="BL12" i="23"/>
  <c r="BL13" i="23"/>
  <c r="BL14" i="23"/>
  <c r="BL15" i="23"/>
  <c r="BL16" i="23"/>
  <c r="BL17" i="23"/>
  <c r="BL18" i="23"/>
  <c r="BL19" i="23"/>
  <c r="BL20" i="23"/>
  <c r="BL21" i="23"/>
  <c r="BL22" i="23"/>
  <c r="BL23" i="23"/>
  <c r="BL24" i="23"/>
  <c r="BL25" i="23"/>
  <c r="BL26" i="23"/>
  <c r="BL27" i="23"/>
  <c r="BL28" i="23"/>
  <c r="BL29" i="23"/>
  <c r="BL30" i="23"/>
  <c r="BL31" i="23"/>
  <c r="BL6" i="23"/>
  <c r="I7" i="23"/>
  <c r="AN7" i="23" s="1"/>
  <c r="BB7" i="23"/>
  <c r="CK7" i="23"/>
  <c r="I8" i="23"/>
  <c r="AN8" i="23" s="1"/>
  <c r="BB8" i="23"/>
  <c r="CK8" i="23"/>
  <c r="I9" i="23"/>
  <c r="AN9" i="23" s="1"/>
  <c r="BB9" i="23"/>
  <c r="CK9" i="23"/>
  <c r="I10" i="23"/>
  <c r="AN10" i="23" s="1"/>
  <c r="BB10" i="23"/>
  <c r="CK10" i="23"/>
  <c r="I11" i="23"/>
  <c r="AN11" i="23" s="1"/>
  <c r="BB11" i="23"/>
  <c r="CK11" i="23"/>
  <c r="I12" i="23"/>
  <c r="AN12" i="23" s="1"/>
  <c r="BB12" i="23"/>
  <c r="CK12" i="23"/>
  <c r="I13" i="23"/>
  <c r="AN13" i="23" s="1"/>
  <c r="BB13" i="23"/>
  <c r="CK13" i="23"/>
  <c r="I14" i="23"/>
  <c r="AN14" i="23" s="1"/>
  <c r="BB14" i="23"/>
  <c r="CK14" i="23"/>
  <c r="I15" i="23"/>
  <c r="AN15" i="23" s="1"/>
  <c r="BB15" i="23"/>
  <c r="CK15" i="23"/>
  <c r="I16" i="23"/>
  <c r="AN16" i="23" s="1"/>
  <c r="BB16" i="23"/>
  <c r="CK16" i="23"/>
  <c r="I17" i="23"/>
  <c r="AN17" i="23" s="1"/>
  <c r="BB17" i="23"/>
  <c r="CK17" i="23"/>
  <c r="I18" i="23"/>
  <c r="AN18" i="23" s="1"/>
  <c r="BB18" i="23"/>
  <c r="CK18" i="23"/>
  <c r="I19" i="23"/>
  <c r="AN19" i="23" s="1"/>
  <c r="BB19" i="23"/>
  <c r="CK19" i="23"/>
  <c r="I20" i="23"/>
  <c r="AN20" i="23" s="1"/>
  <c r="BB20" i="23"/>
  <c r="CK20" i="23"/>
  <c r="I21" i="23"/>
  <c r="AN21" i="23" s="1"/>
  <c r="BB21" i="23"/>
  <c r="CK21" i="23"/>
  <c r="I22" i="23"/>
  <c r="AN22" i="23" s="1"/>
  <c r="BB22" i="23"/>
  <c r="CK22" i="23"/>
  <c r="I23" i="23"/>
  <c r="AN23" i="23" s="1"/>
  <c r="BB23" i="23"/>
  <c r="CK23" i="23"/>
  <c r="I24" i="23"/>
  <c r="AN24" i="23" s="1"/>
  <c r="BB24" i="23"/>
  <c r="CK24" i="23"/>
  <c r="I25" i="23"/>
  <c r="AN25" i="23" s="1"/>
  <c r="BB25" i="23"/>
  <c r="CK25" i="23"/>
  <c r="I26" i="23"/>
  <c r="AN26" i="23" s="1"/>
  <c r="BB26" i="23"/>
  <c r="CK26" i="23"/>
  <c r="I27" i="23"/>
  <c r="AN27" i="23" s="1"/>
  <c r="BB27" i="23"/>
  <c r="CK27" i="23"/>
  <c r="I28" i="23"/>
  <c r="AN28" i="23" s="1"/>
  <c r="BB28" i="23"/>
  <c r="CK28" i="23"/>
  <c r="I29" i="23"/>
  <c r="AN29" i="23" s="1"/>
  <c r="BB29" i="23"/>
  <c r="CK29" i="23"/>
  <c r="I30" i="23"/>
  <c r="AN30" i="23" s="1"/>
  <c r="BB30" i="23"/>
  <c r="CK30" i="23"/>
  <c r="I31" i="23"/>
  <c r="AN31" i="23" s="1"/>
  <c r="BB31" i="23"/>
  <c r="CK31" i="23"/>
  <c r="I32" i="23"/>
  <c r="AN32" i="23" s="1"/>
  <c r="BB32" i="23"/>
  <c r="CK32" i="23"/>
  <c r="I33" i="23"/>
  <c r="AN33" i="23" s="1"/>
  <c r="BB33" i="23"/>
  <c r="CK33" i="23"/>
  <c r="I34" i="23"/>
  <c r="AN34" i="23" s="1"/>
  <c r="BB34" i="23"/>
  <c r="CK34" i="23"/>
  <c r="I35" i="23"/>
  <c r="AN35" i="23" s="1"/>
  <c r="BB35" i="23"/>
  <c r="CK35" i="23"/>
  <c r="AN36" i="23"/>
  <c r="BB36" i="23"/>
  <c r="CK36" i="23"/>
  <c r="CK6" i="23"/>
  <c r="BB6" i="23"/>
  <c r="I6" i="23"/>
  <c r="AN6" i="23" s="1"/>
  <c r="CY37" i="23"/>
  <c r="CY6" i="23"/>
  <c r="CJ37" i="23"/>
  <c r="CJ6" i="23"/>
  <c r="AO34" i="36"/>
  <c r="G67" i="1" s="1"/>
  <c r="AP3" i="36"/>
  <c r="AL4" i="36" s="1"/>
  <c r="AP4" i="36" s="1"/>
  <c r="AL5" i="36" s="1"/>
  <c r="AP5" i="36" s="1"/>
  <c r="AL6" i="36" s="1"/>
  <c r="AP6" i="36" s="1"/>
  <c r="AL7" i="36" s="1"/>
  <c r="AP7" i="36" s="1"/>
  <c r="AL8" i="36" s="1"/>
  <c r="AP8" i="36" s="1"/>
  <c r="AL9" i="36" s="1"/>
  <c r="AP9" i="36" s="1"/>
  <c r="AL10" i="36" s="1"/>
  <c r="AP10" i="36" s="1"/>
  <c r="AL11" i="36" s="1"/>
  <c r="AP11" i="36" s="1"/>
  <c r="AL12" i="36" s="1"/>
  <c r="AP12" i="36" s="1"/>
  <c r="AL13" i="36" s="1"/>
  <c r="AP13" i="36" s="1"/>
  <c r="AL14" i="36" s="1"/>
  <c r="AP14" i="36" s="1"/>
  <c r="AL15" i="36" s="1"/>
  <c r="AP15" i="36" s="1"/>
  <c r="AL16" i="36" s="1"/>
  <c r="AP16" i="36" s="1"/>
  <c r="AL17" i="36" s="1"/>
  <c r="AP17" i="36" s="1"/>
  <c r="AL18" i="36" s="1"/>
  <c r="AP18" i="36" s="1"/>
  <c r="AL19" i="36" s="1"/>
  <c r="AP19" i="36" s="1"/>
  <c r="AL20" i="36" s="1"/>
  <c r="AP20" i="36" s="1"/>
  <c r="AL21" i="36" s="1"/>
  <c r="AP21" i="36" s="1"/>
  <c r="AL22" i="36" s="1"/>
  <c r="AP22" i="36" s="1"/>
  <c r="AL23" i="36" s="1"/>
  <c r="AP23" i="36" s="1"/>
  <c r="AL24" i="36" s="1"/>
  <c r="AP24" i="36" s="1"/>
  <c r="AL25" i="36" s="1"/>
  <c r="AP25" i="36" s="1"/>
  <c r="AL26" i="36" s="1"/>
  <c r="AP26" i="36" s="1"/>
  <c r="AL27" i="36" s="1"/>
  <c r="AP27" i="36" s="1"/>
  <c r="AL28" i="36" s="1"/>
  <c r="AP28" i="36" s="1"/>
  <c r="AL29" i="36" s="1"/>
  <c r="AP29" i="36" s="1"/>
  <c r="AL30" i="36" s="1"/>
  <c r="AP30" i="36" s="1"/>
  <c r="AL31" i="36" s="1"/>
  <c r="AP31" i="36" s="1"/>
  <c r="AL32" i="36" s="1"/>
  <c r="AP32" i="36" s="1"/>
  <c r="AL33" i="36" s="1"/>
  <c r="AP33" i="36" s="1"/>
  <c r="AM34" i="36"/>
  <c r="F67" i="1" s="1"/>
  <c r="AL34" i="36"/>
  <c r="D67" i="1" s="1"/>
  <c r="BE34" i="36"/>
  <c r="AZ34" i="36"/>
  <c r="AH34" i="36"/>
  <c r="AB34" i="36"/>
  <c r="V34" i="36"/>
  <c r="J34" i="36"/>
  <c r="D34" i="36"/>
  <c r="F41" i="7"/>
  <c r="G64" i="1"/>
  <c r="G63" i="1"/>
  <c r="AJ3" i="36"/>
  <c r="AF4" i="36" s="1"/>
  <c r="AJ4" i="36" s="1"/>
  <c r="AF5" i="36" s="1"/>
  <c r="AJ5" i="36" s="1"/>
  <c r="AF6" i="36" s="1"/>
  <c r="AJ6" i="36" s="1"/>
  <c r="AF7" i="36" s="1"/>
  <c r="AJ7" i="36" s="1"/>
  <c r="AF8" i="36" s="1"/>
  <c r="AJ8" i="36" s="1"/>
  <c r="AF9" i="36" s="1"/>
  <c r="AJ9" i="36" s="1"/>
  <c r="AF10" i="36" s="1"/>
  <c r="AJ10" i="36" s="1"/>
  <c r="AF11" i="36" s="1"/>
  <c r="AJ11" i="36" s="1"/>
  <c r="AF12" i="36" s="1"/>
  <c r="AJ12" i="36" s="1"/>
  <c r="AF13" i="36" s="1"/>
  <c r="AJ13" i="36" s="1"/>
  <c r="AF14" i="36" s="1"/>
  <c r="AJ14" i="36" s="1"/>
  <c r="AF15" i="36" s="1"/>
  <c r="AJ15" i="36" s="1"/>
  <c r="AF16" i="36" s="1"/>
  <c r="AJ16" i="36" s="1"/>
  <c r="AF17" i="36" s="1"/>
  <c r="AJ17" i="36" s="1"/>
  <c r="AF18" i="36" s="1"/>
  <c r="AJ18" i="36" s="1"/>
  <c r="AF19" i="36" s="1"/>
  <c r="AJ19" i="36" s="1"/>
  <c r="AF20" i="36" s="1"/>
  <c r="AJ20" i="36" s="1"/>
  <c r="AF21" i="36" s="1"/>
  <c r="AJ21" i="36" s="1"/>
  <c r="AF22" i="36" s="1"/>
  <c r="AJ22" i="36" s="1"/>
  <c r="AF23" i="36" s="1"/>
  <c r="AJ23" i="36" s="1"/>
  <c r="AF24" i="36" s="1"/>
  <c r="AJ24" i="36" s="1"/>
  <c r="AF25" i="36" s="1"/>
  <c r="AJ25" i="36" s="1"/>
  <c r="AF26" i="36" s="1"/>
  <c r="AJ26" i="36" s="1"/>
  <c r="AF27" i="36" s="1"/>
  <c r="AJ27" i="36" s="1"/>
  <c r="AF28" i="36" s="1"/>
  <c r="AJ28" i="36" s="1"/>
  <c r="AF29" i="36" s="1"/>
  <c r="AJ29" i="36" s="1"/>
  <c r="AF30" i="36" s="1"/>
  <c r="AJ30" i="36" s="1"/>
  <c r="AF31" i="36" s="1"/>
  <c r="AJ31" i="36" s="1"/>
  <c r="AF32" i="36" s="1"/>
  <c r="AJ32" i="36" s="1"/>
  <c r="AF33" i="36" s="1"/>
  <c r="AJ33" i="36" s="1"/>
  <c r="G66" i="1"/>
  <c r="AD3" i="36"/>
  <c r="Z4" i="36" s="1"/>
  <c r="AD4" i="36" s="1"/>
  <c r="Z5" i="36" s="1"/>
  <c r="AD5" i="36" s="1"/>
  <c r="Z6" i="36" s="1"/>
  <c r="AD6" i="36" s="1"/>
  <c r="Z7" i="36" s="1"/>
  <c r="AD7" i="36" s="1"/>
  <c r="Z8" i="36" s="1"/>
  <c r="AD8" i="36" s="1"/>
  <c r="Z9" i="36" s="1"/>
  <c r="AD9" i="36" s="1"/>
  <c r="Z10" i="36" s="1"/>
  <c r="AD10" i="36" s="1"/>
  <c r="Z11" i="36" s="1"/>
  <c r="AD11" i="36" s="1"/>
  <c r="Z12" i="36" s="1"/>
  <c r="AD12" i="36" s="1"/>
  <c r="Z13" i="36" s="1"/>
  <c r="AD13" i="36" s="1"/>
  <c r="Z14" i="36" s="1"/>
  <c r="AD14" i="36" s="1"/>
  <c r="Z15" i="36" s="1"/>
  <c r="AD15" i="36" s="1"/>
  <c r="Z16" i="36" s="1"/>
  <c r="AD16" i="36" s="1"/>
  <c r="Z17" i="36" s="1"/>
  <c r="AD17" i="36" s="1"/>
  <c r="Z18" i="36" s="1"/>
  <c r="AD18" i="36" s="1"/>
  <c r="Z19" i="36" s="1"/>
  <c r="AD19" i="36" s="1"/>
  <c r="Z20" i="36" s="1"/>
  <c r="AD20" i="36" s="1"/>
  <c r="Z21" i="36" s="1"/>
  <c r="AD21" i="36" s="1"/>
  <c r="Z22" i="36" s="1"/>
  <c r="AD22" i="36" s="1"/>
  <c r="Z23" i="36" s="1"/>
  <c r="AD23" i="36" s="1"/>
  <c r="Z24" i="36" s="1"/>
  <c r="AD24" i="36" s="1"/>
  <c r="Z25" i="36" s="1"/>
  <c r="AD25" i="36" s="1"/>
  <c r="Z26" i="36" s="1"/>
  <c r="AD26" i="36" s="1"/>
  <c r="Z27" i="36" s="1"/>
  <c r="AD27" i="36" s="1"/>
  <c r="Z28" i="36" s="1"/>
  <c r="AD28" i="36" s="1"/>
  <c r="Z29" i="36" s="1"/>
  <c r="AD29" i="36" s="1"/>
  <c r="Z30" i="36" s="1"/>
  <c r="AD30" i="36" s="1"/>
  <c r="Z31" i="36" s="1"/>
  <c r="AD31" i="36" s="1"/>
  <c r="Z32" i="36" s="1"/>
  <c r="AD32" i="36" s="1"/>
  <c r="Z33" i="36" s="1"/>
  <c r="AD33" i="36" s="1"/>
  <c r="G65" i="1"/>
  <c r="X3" i="36"/>
  <c r="T4" i="36" s="1"/>
  <c r="X4" i="36" s="1"/>
  <c r="T5" i="36" s="1"/>
  <c r="X5" i="36" s="1"/>
  <c r="T6" i="36" s="1"/>
  <c r="X6" i="36" s="1"/>
  <c r="T7" i="36" s="1"/>
  <c r="X7" i="36" s="1"/>
  <c r="T8" i="36" s="1"/>
  <c r="X8" i="36" s="1"/>
  <c r="T9" i="36" s="1"/>
  <c r="X9" i="36" s="1"/>
  <c r="T10" i="36" s="1"/>
  <c r="X10" i="36" s="1"/>
  <c r="T11" i="36" s="1"/>
  <c r="X11" i="36" s="1"/>
  <c r="T12" i="36" s="1"/>
  <c r="X12" i="36" s="1"/>
  <c r="T13" i="36" s="1"/>
  <c r="X13" i="36" s="1"/>
  <c r="T14" i="36" s="1"/>
  <c r="X14" i="36" s="1"/>
  <c r="T15" i="36" s="1"/>
  <c r="X15" i="36" s="1"/>
  <c r="T16" i="36" s="1"/>
  <c r="X16" i="36" s="1"/>
  <c r="T17" i="36" s="1"/>
  <c r="X17" i="36" s="1"/>
  <c r="T18" i="36" s="1"/>
  <c r="X18" i="36" s="1"/>
  <c r="T19" i="36" s="1"/>
  <c r="X19" i="36" s="1"/>
  <c r="T20" i="36" s="1"/>
  <c r="X20" i="36" s="1"/>
  <c r="T21" i="36" s="1"/>
  <c r="X21" i="36" s="1"/>
  <c r="T22" i="36" s="1"/>
  <c r="X22" i="36" s="1"/>
  <c r="T23" i="36" s="1"/>
  <c r="X23" i="36" s="1"/>
  <c r="T24" i="36" s="1"/>
  <c r="X24" i="36" s="1"/>
  <c r="T25" i="36" s="1"/>
  <c r="X25" i="36" s="1"/>
  <c r="T26" i="36" s="1"/>
  <c r="X26" i="36" s="1"/>
  <c r="T27" i="36" s="1"/>
  <c r="X27" i="36" s="1"/>
  <c r="T28" i="36" s="1"/>
  <c r="X28" i="36" s="1"/>
  <c r="T29" i="36" s="1"/>
  <c r="X29" i="36" s="1"/>
  <c r="T30" i="36" s="1"/>
  <c r="X30" i="36" s="1"/>
  <c r="T31" i="36" s="1"/>
  <c r="X31" i="36" s="1"/>
  <c r="T32" i="36" s="1"/>
  <c r="X32" i="36" s="1"/>
  <c r="T33" i="36" s="1"/>
  <c r="X33" i="36" s="1"/>
  <c r="R3" i="36"/>
  <c r="N4" i="36" s="1"/>
  <c r="R4" i="36" s="1"/>
  <c r="N5" i="36" s="1"/>
  <c r="R5" i="36" s="1"/>
  <c r="N6" i="36" s="1"/>
  <c r="R6" i="36" s="1"/>
  <c r="N7" i="36" s="1"/>
  <c r="R7" i="36" s="1"/>
  <c r="N8" i="36" s="1"/>
  <c r="R8" i="36" s="1"/>
  <c r="N9" i="36" s="1"/>
  <c r="R9" i="36" s="1"/>
  <c r="N10" i="36" s="1"/>
  <c r="R10" i="36" s="1"/>
  <c r="N11" i="36" s="1"/>
  <c r="R11" i="36" s="1"/>
  <c r="N12" i="36" s="1"/>
  <c r="R12" i="36" s="1"/>
  <c r="N13" i="36" s="1"/>
  <c r="R13" i="36" s="1"/>
  <c r="N14" i="36" s="1"/>
  <c r="R14" i="36" s="1"/>
  <c r="N15" i="36" s="1"/>
  <c r="R15" i="36" s="1"/>
  <c r="N16" i="36" s="1"/>
  <c r="R16" i="36" s="1"/>
  <c r="N17" i="36" s="1"/>
  <c r="R17" i="36" s="1"/>
  <c r="N18" i="36" s="1"/>
  <c r="R18" i="36" s="1"/>
  <c r="N19" i="36" s="1"/>
  <c r="R19" i="36" s="1"/>
  <c r="N20" i="36" s="1"/>
  <c r="R20" i="36" s="1"/>
  <c r="N21" i="36" s="1"/>
  <c r="R21" i="36" s="1"/>
  <c r="N22" i="36" s="1"/>
  <c r="R22" i="36" s="1"/>
  <c r="N23" i="36" s="1"/>
  <c r="R23" i="36" s="1"/>
  <c r="N24" i="36" s="1"/>
  <c r="R24" i="36" s="1"/>
  <c r="N25" i="36" s="1"/>
  <c r="R25" i="36" s="1"/>
  <c r="N26" i="36" s="1"/>
  <c r="R26" i="36" s="1"/>
  <c r="N27" i="36" s="1"/>
  <c r="R27" i="36" s="1"/>
  <c r="N28" i="36" s="1"/>
  <c r="R28" i="36" s="1"/>
  <c r="N29" i="36" s="1"/>
  <c r="R29" i="36" s="1"/>
  <c r="N30" i="36" s="1"/>
  <c r="R30" i="36" s="1"/>
  <c r="N31" i="36" s="1"/>
  <c r="R31" i="36" s="1"/>
  <c r="N32" i="36" s="1"/>
  <c r="R32" i="36" s="1"/>
  <c r="N33" i="36" s="1"/>
  <c r="R33" i="36" s="1"/>
  <c r="G61" i="1"/>
  <c r="L3" i="36"/>
  <c r="H4" i="36" s="1"/>
  <c r="L4" i="36" s="1"/>
  <c r="H5" i="36" s="1"/>
  <c r="L5" i="36" s="1"/>
  <c r="H6" i="36" s="1"/>
  <c r="L6" i="36" s="1"/>
  <c r="H7" i="36" s="1"/>
  <c r="L7" i="36" s="1"/>
  <c r="H8" i="36" s="1"/>
  <c r="L8" i="36" s="1"/>
  <c r="H9" i="36" s="1"/>
  <c r="L9" i="36" s="1"/>
  <c r="H10" i="36" s="1"/>
  <c r="L10" i="36" s="1"/>
  <c r="H11" i="36" s="1"/>
  <c r="L11" i="36" s="1"/>
  <c r="H12" i="36" s="1"/>
  <c r="L12" i="36" s="1"/>
  <c r="H13" i="36" s="1"/>
  <c r="L13" i="36" s="1"/>
  <c r="H14" i="36" s="1"/>
  <c r="L14" i="36" s="1"/>
  <c r="H15" i="36" s="1"/>
  <c r="L15" i="36" s="1"/>
  <c r="H16" i="36" s="1"/>
  <c r="L16" i="36" s="1"/>
  <c r="H17" i="36" s="1"/>
  <c r="L17" i="36" s="1"/>
  <c r="H18" i="36" s="1"/>
  <c r="L18" i="36" s="1"/>
  <c r="H19" i="36" s="1"/>
  <c r="L19" i="36" s="1"/>
  <c r="H20" i="36" s="1"/>
  <c r="L20" i="36" s="1"/>
  <c r="H21" i="36" s="1"/>
  <c r="L21" i="36" s="1"/>
  <c r="H22" i="36" s="1"/>
  <c r="L22" i="36" s="1"/>
  <c r="H23" i="36" s="1"/>
  <c r="L23" i="36" s="1"/>
  <c r="H24" i="36" s="1"/>
  <c r="L24" i="36" s="1"/>
  <c r="H25" i="36" s="1"/>
  <c r="L25" i="36" s="1"/>
  <c r="H26" i="36" s="1"/>
  <c r="L26" i="36" s="1"/>
  <c r="H27" i="36" s="1"/>
  <c r="L27" i="36" s="1"/>
  <c r="H28" i="36" s="1"/>
  <c r="L28" i="36" s="1"/>
  <c r="H29" i="36" s="1"/>
  <c r="L29" i="36" s="1"/>
  <c r="H30" i="36" s="1"/>
  <c r="L30" i="36" s="1"/>
  <c r="H31" i="36" s="1"/>
  <c r="L31" i="36" s="1"/>
  <c r="H32" i="36" s="1"/>
  <c r="L32" i="36" s="1"/>
  <c r="H33" i="36" s="1"/>
  <c r="L33" i="36" s="1"/>
  <c r="G62" i="1"/>
  <c r="F3" i="36"/>
  <c r="B4" i="36" s="1"/>
  <c r="F4" i="36" s="1"/>
  <c r="B5" i="36" s="1"/>
  <c r="F5" i="36" s="1"/>
  <c r="B6" i="36" s="1"/>
  <c r="F6" i="36" s="1"/>
  <c r="B7" i="36" s="1"/>
  <c r="F7" i="36" s="1"/>
  <c r="B8" i="36" s="1"/>
  <c r="F8" i="36" s="1"/>
  <c r="B9" i="36" s="1"/>
  <c r="F9" i="36" s="1"/>
  <c r="B10" i="36" s="1"/>
  <c r="F10" i="36" s="1"/>
  <c r="B11" i="36" s="1"/>
  <c r="F11" i="36" s="1"/>
  <c r="B12" i="36" s="1"/>
  <c r="F12" i="36" s="1"/>
  <c r="B13" i="36" s="1"/>
  <c r="F13" i="36" s="1"/>
  <c r="B14" i="36" s="1"/>
  <c r="F14" i="36" s="1"/>
  <c r="B15" i="36" s="1"/>
  <c r="F15" i="36" s="1"/>
  <c r="B16" i="36" s="1"/>
  <c r="F16" i="36" s="1"/>
  <c r="B17" i="36" s="1"/>
  <c r="F17" i="36" s="1"/>
  <c r="B18" i="36" s="1"/>
  <c r="F18" i="36" s="1"/>
  <c r="B19" i="36" s="1"/>
  <c r="F19" i="36" s="1"/>
  <c r="B20" i="36" s="1"/>
  <c r="F20" i="36" s="1"/>
  <c r="B21" i="36" s="1"/>
  <c r="F21" i="36" s="1"/>
  <c r="B22" i="36" s="1"/>
  <c r="F22" i="36" s="1"/>
  <c r="B23" i="36" s="1"/>
  <c r="F23" i="36" s="1"/>
  <c r="B24" i="36" s="1"/>
  <c r="F24" i="36" s="1"/>
  <c r="B25" i="36" s="1"/>
  <c r="F25" i="36" s="1"/>
  <c r="B26" i="36" s="1"/>
  <c r="F26" i="36" s="1"/>
  <c r="B27" i="36" s="1"/>
  <c r="F27" i="36" s="1"/>
  <c r="B28" i="36" s="1"/>
  <c r="F28" i="36" s="1"/>
  <c r="B29" i="36" s="1"/>
  <c r="F29" i="36" s="1"/>
  <c r="B30" i="36" s="1"/>
  <c r="F30" i="36" s="1"/>
  <c r="B31" i="36" s="1"/>
  <c r="F31" i="36" s="1"/>
  <c r="B32" i="36" s="1"/>
  <c r="F32" i="36" s="1"/>
  <c r="B33" i="36" s="1"/>
  <c r="F33" i="36" s="1"/>
  <c r="A6" i="7"/>
  <c r="A7" i="7" s="1"/>
  <c r="A8" i="7" s="1"/>
  <c r="A9" i="7" s="1"/>
  <c r="A10" i="7" s="1"/>
  <c r="I69" i="1"/>
  <c r="S102" i="2"/>
  <c r="S9" i="2"/>
  <c r="B35" i="6"/>
  <c r="E35" i="6" s="1"/>
  <c r="F35" i="6"/>
  <c r="I35" i="6" s="1"/>
  <c r="F35" i="10"/>
  <c r="I35" i="10" s="1"/>
  <c r="B35" i="10"/>
  <c r="E35" i="10" s="1"/>
  <c r="O58" i="2"/>
  <c r="O48" i="2"/>
  <c r="Q79" i="1" s="1"/>
  <c r="O75" i="2"/>
  <c r="Q83" i="1" s="1"/>
  <c r="F71" i="1"/>
  <c r="BC34" i="36"/>
  <c r="BF3" i="36"/>
  <c r="BC4" i="36" s="1"/>
  <c r="BF4" i="36" s="1"/>
  <c r="BC5" i="36" s="1"/>
  <c r="BF5" i="36" s="1"/>
  <c r="BC6" i="36" s="1"/>
  <c r="BF6" i="36" s="1"/>
  <c r="BC7" i="36" s="1"/>
  <c r="BF7" i="36" s="1"/>
  <c r="BC8" i="36" s="1"/>
  <c r="BF8" i="36" s="1"/>
  <c r="BC9" i="36" s="1"/>
  <c r="BF9" i="36" s="1"/>
  <c r="BC10" i="36" s="1"/>
  <c r="BF10" i="36" s="1"/>
  <c r="BC11" i="36" s="1"/>
  <c r="BF11" i="36" s="1"/>
  <c r="BC12" i="36" s="1"/>
  <c r="BF12" i="36" s="1"/>
  <c r="BC13" i="36" s="1"/>
  <c r="BF13" i="36" s="1"/>
  <c r="BC14" i="36" s="1"/>
  <c r="BF14" i="36" s="1"/>
  <c r="BC15" i="36" s="1"/>
  <c r="BF15" i="36" s="1"/>
  <c r="BC16" i="36" s="1"/>
  <c r="BF16" i="36" s="1"/>
  <c r="BC17" i="36" s="1"/>
  <c r="BF17" i="36" s="1"/>
  <c r="BC18" i="36" s="1"/>
  <c r="BF18" i="36" s="1"/>
  <c r="BC19" i="36" s="1"/>
  <c r="BF19" i="36" s="1"/>
  <c r="BC20" i="36" s="1"/>
  <c r="BF20" i="36" s="1"/>
  <c r="BC21" i="36" s="1"/>
  <c r="BF21" i="36" s="1"/>
  <c r="BC22" i="36" s="1"/>
  <c r="BF22" i="36" s="1"/>
  <c r="BC23" i="36" s="1"/>
  <c r="BF23" i="36" s="1"/>
  <c r="BC24" i="36" s="1"/>
  <c r="BF24" i="36" s="1"/>
  <c r="BC25" i="36" s="1"/>
  <c r="BF25" i="36" s="1"/>
  <c r="BC26" i="36" s="1"/>
  <c r="BF26" i="36" s="1"/>
  <c r="BC27" i="36" s="1"/>
  <c r="BF27" i="36" s="1"/>
  <c r="BC28" i="36" s="1"/>
  <c r="BF28" i="36" s="1"/>
  <c r="BC29" i="36" s="1"/>
  <c r="BF29" i="36" s="1"/>
  <c r="O88" i="2"/>
  <c r="O39" i="2"/>
  <c r="J78" i="1" s="1"/>
  <c r="DH36" i="23"/>
  <c r="DV36" i="23"/>
  <c r="V36" i="23"/>
  <c r="BI36" i="23"/>
  <c r="F69" i="1"/>
  <c r="AX34" i="36"/>
  <c r="BA3" i="36"/>
  <c r="AX4" i="36" s="1"/>
  <c r="BA4" i="36" s="1"/>
  <c r="AX5" i="36" s="1"/>
  <c r="BA5" i="36" s="1"/>
  <c r="AX6" i="36" s="1"/>
  <c r="BA6" i="36" s="1"/>
  <c r="AX7" i="36" s="1"/>
  <c r="BA7" i="36" s="1"/>
  <c r="AX8" i="36" s="1"/>
  <c r="BA8" i="36" s="1"/>
  <c r="AX9" i="36" s="1"/>
  <c r="BA9" i="36" s="1"/>
  <c r="AX10" i="36" s="1"/>
  <c r="BA10" i="36" s="1"/>
  <c r="AX11" i="36" s="1"/>
  <c r="BA11" i="36" s="1"/>
  <c r="AX12" i="36" s="1"/>
  <c r="BA12" i="36" s="1"/>
  <c r="AX13" i="36" s="1"/>
  <c r="BA13" i="36" s="1"/>
  <c r="AX14" i="36" s="1"/>
  <c r="BA14" i="36" s="1"/>
  <c r="AX15" i="36" s="1"/>
  <c r="BA15" i="36" s="1"/>
  <c r="AX16" i="36" s="1"/>
  <c r="BA16" i="36" s="1"/>
  <c r="AX17" i="36" s="1"/>
  <c r="BA17" i="36" s="1"/>
  <c r="AX18" i="36" s="1"/>
  <c r="BA18" i="36" s="1"/>
  <c r="AX19" i="36" s="1"/>
  <c r="BA19" i="36" s="1"/>
  <c r="AX20" i="36" s="1"/>
  <c r="BA20" i="36" s="1"/>
  <c r="AX21" i="36" s="1"/>
  <c r="BA21" i="36" s="1"/>
  <c r="AX22" i="36" s="1"/>
  <c r="BA22" i="36" s="1"/>
  <c r="AX23" i="36" s="1"/>
  <c r="BA23" i="36" s="1"/>
  <c r="AX24" i="36" s="1"/>
  <c r="BA24" i="36" s="1"/>
  <c r="AX25" i="36" s="1"/>
  <c r="BA25" i="36" s="1"/>
  <c r="AX26" i="36" s="1"/>
  <c r="BA26" i="36" s="1"/>
  <c r="AX27" i="36" s="1"/>
  <c r="BA27" i="36" s="1"/>
  <c r="AX28" i="36" s="1"/>
  <c r="BA28" i="36" s="1"/>
  <c r="AX29" i="36" s="1"/>
  <c r="BA29" i="36" s="1"/>
  <c r="AX30" i="36" s="1"/>
  <c r="BA30" i="36" s="1"/>
  <c r="AX31" i="36" s="1"/>
  <c r="BA31" i="36" s="1"/>
  <c r="AX32" i="36" s="1"/>
  <c r="BA32" i="36" s="1"/>
  <c r="AX33" i="36" s="1"/>
  <c r="BA33" i="36" s="1"/>
  <c r="O57" i="2"/>
  <c r="AT34" i="36"/>
  <c r="AV3" i="36"/>
  <c r="AR4" i="36" s="1"/>
  <c r="AV4" i="36" s="1"/>
  <c r="AR5" i="36" s="1"/>
  <c r="AV5" i="36" s="1"/>
  <c r="AR6" i="36" s="1"/>
  <c r="AV6" i="36" s="1"/>
  <c r="AR7" i="36" s="1"/>
  <c r="AV7" i="36" s="1"/>
  <c r="AR8" i="36" s="1"/>
  <c r="AV8" i="36" s="1"/>
  <c r="AR9" i="36" s="1"/>
  <c r="AV9" i="36" s="1"/>
  <c r="AR10" i="36" s="1"/>
  <c r="AV10" i="36" s="1"/>
  <c r="AR11" i="36" s="1"/>
  <c r="AV11" i="36" s="1"/>
  <c r="AR12" i="36" s="1"/>
  <c r="AV12" i="36" s="1"/>
  <c r="AR13" i="36" s="1"/>
  <c r="AV13" i="36" s="1"/>
  <c r="AR14" i="36" s="1"/>
  <c r="AV14" i="36" s="1"/>
  <c r="AR15" i="36" s="1"/>
  <c r="AV15" i="36" s="1"/>
  <c r="AR16" i="36" s="1"/>
  <c r="AV16" i="36" s="1"/>
  <c r="AR17" i="36" s="1"/>
  <c r="AV17" i="36" s="1"/>
  <c r="AR18" i="36" s="1"/>
  <c r="AV18" i="36" s="1"/>
  <c r="AR19" i="36" s="1"/>
  <c r="AV19" i="36" s="1"/>
  <c r="AR20" i="36" s="1"/>
  <c r="AV20" i="36" s="1"/>
  <c r="AR21" i="36" s="1"/>
  <c r="AV21" i="36" s="1"/>
  <c r="AR22" i="36" s="1"/>
  <c r="AV22" i="36" s="1"/>
  <c r="AR23" i="36" s="1"/>
  <c r="AV23" i="36" s="1"/>
  <c r="AR24" i="36" s="1"/>
  <c r="AV24" i="36" s="1"/>
  <c r="AR25" i="36" s="1"/>
  <c r="AV25" i="36" s="1"/>
  <c r="AR26" i="36" s="1"/>
  <c r="AV26" i="36" s="1"/>
  <c r="AR27" i="36" s="1"/>
  <c r="AV27" i="36" s="1"/>
  <c r="AR28" i="36" s="1"/>
  <c r="AV28" i="36" s="1"/>
  <c r="AR29" i="36" s="1"/>
  <c r="AV29" i="36" s="1"/>
  <c r="O67" i="2"/>
  <c r="AU34" i="36"/>
  <c r="AS34" i="36"/>
  <c r="F68" i="1" s="1"/>
  <c r="AR34" i="36"/>
  <c r="D68" i="1" s="1"/>
  <c r="H37" i="6"/>
  <c r="D37" i="6"/>
  <c r="X114" i="2"/>
  <c r="W114" i="2"/>
  <c r="V114" i="2"/>
  <c r="U114" i="2"/>
  <c r="T114" i="2"/>
  <c r="BV37" i="23"/>
  <c r="B37" i="23"/>
  <c r="T36" i="23"/>
  <c r="R39" i="36"/>
  <c r="O74" i="2"/>
  <c r="S83" i="1" s="1"/>
  <c r="D56" i="2"/>
  <c r="E56" i="2"/>
  <c r="C56" i="2"/>
  <c r="F35" i="23"/>
  <c r="BI35" i="23" s="1"/>
  <c r="V35" i="23"/>
  <c r="DH35" i="23"/>
  <c r="DV35" i="23"/>
  <c r="AH35" i="23"/>
  <c r="EC35" i="23" s="1"/>
  <c r="O61" i="2"/>
  <c r="S81" i="1" s="1"/>
  <c r="O68" i="2"/>
  <c r="S82" i="1" s="1"/>
  <c r="O52" i="2"/>
  <c r="O46" i="2"/>
  <c r="S79" i="1" s="1"/>
  <c r="AN34" i="36"/>
  <c r="AF34" i="36"/>
  <c r="Z34" i="36"/>
  <c r="T34" i="36"/>
  <c r="D64" i="1" s="1"/>
  <c r="N34" i="36"/>
  <c r="H34" i="36"/>
  <c r="D61" i="1" s="1"/>
  <c r="B34" i="36"/>
  <c r="P34" i="36"/>
  <c r="EP37" i="23"/>
  <c r="EP6" i="23"/>
  <c r="BV6" i="23"/>
  <c r="AJ7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AJ34" i="23"/>
  <c r="AJ35" i="23"/>
  <c r="AJ36" i="23"/>
  <c r="AJ6" i="23"/>
  <c r="DS6" i="23" s="1"/>
  <c r="DN7" i="23" s="1"/>
  <c r="DV7" i="23"/>
  <c r="DV8" i="23"/>
  <c r="DV10" i="23"/>
  <c r="DV11" i="23"/>
  <c r="DV12" i="23"/>
  <c r="DV13" i="23"/>
  <c r="DV14" i="23"/>
  <c r="DV15" i="23"/>
  <c r="DV16" i="23"/>
  <c r="DV17" i="23"/>
  <c r="DV18" i="23"/>
  <c r="DV19" i="23"/>
  <c r="DV20" i="23"/>
  <c r="DV21" i="23"/>
  <c r="DV22" i="23"/>
  <c r="DV23" i="23"/>
  <c r="DV24" i="23"/>
  <c r="DV25" i="23"/>
  <c r="DV26" i="23"/>
  <c r="DV27" i="23"/>
  <c r="DV28" i="23"/>
  <c r="DV29" i="23"/>
  <c r="DV30" i="23"/>
  <c r="DV31" i="23"/>
  <c r="DV32" i="23"/>
  <c r="DV33" i="23"/>
  <c r="DV34" i="23"/>
  <c r="DV6" i="23"/>
  <c r="V6" i="23"/>
  <c r="V7" i="23"/>
  <c r="V8" i="23"/>
  <c r="V9" i="23"/>
  <c r="V10" i="23"/>
  <c r="V11" i="23"/>
  <c r="V12" i="23"/>
  <c r="V13" i="23"/>
  <c r="V14" i="23"/>
  <c r="V15" i="23"/>
  <c r="V16" i="23"/>
  <c r="V17" i="23"/>
  <c r="V18" i="23"/>
  <c r="V19" i="23"/>
  <c r="V20" i="23"/>
  <c r="V21" i="23"/>
  <c r="V22" i="23"/>
  <c r="V23" i="23"/>
  <c r="V24" i="23"/>
  <c r="V25" i="23"/>
  <c r="V26" i="23"/>
  <c r="V27" i="23"/>
  <c r="V28" i="23"/>
  <c r="V29" i="23"/>
  <c r="V30" i="23"/>
  <c r="V31" i="23"/>
  <c r="V32" i="23"/>
  <c r="V33" i="23"/>
  <c r="V34" i="23"/>
  <c r="BH37" i="23"/>
  <c r="AG34" i="23"/>
  <c r="AH34" i="23"/>
  <c r="EC34" i="23" s="1"/>
  <c r="AG36" i="23"/>
  <c r="AH36" i="23"/>
  <c r="EC36" i="23" s="1"/>
  <c r="DH34" i="23"/>
  <c r="F34" i="23"/>
  <c r="BI34" i="23" s="1"/>
  <c r="J32" i="10"/>
  <c r="M32" i="10" s="1"/>
  <c r="J33" i="10"/>
  <c r="M33" i="10" s="1"/>
  <c r="J34" i="10"/>
  <c r="M34" i="10" s="1"/>
  <c r="J35" i="10"/>
  <c r="M35" i="10" s="1"/>
  <c r="T34" i="23"/>
  <c r="T35" i="23"/>
  <c r="T9" i="2"/>
  <c r="A3" i="36"/>
  <c r="H39" i="36"/>
  <c r="L39" i="36" s="1"/>
  <c r="AG38" i="36"/>
  <c r="AA38" i="36"/>
  <c r="X37" i="36"/>
  <c r="D36" i="36"/>
  <c r="F66" i="1"/>
  <c r="F65" i="1"/>
  <c r="F64" i="1"/>
  <c r="F63" i="1"/>
  <c r="F61" i="1"/>
  <c r="F62" i="1"/>
  <c r="T102" i="2"/>
  <c r="G77" i="35"/>
  <c r="B6" i="23"/>
  <c r="S6" i="23"/>
  <c r="S37" i="23" s="1"/>
  <c r="D11" i="1" s="1"/>
  <c r="T7" i="23"/>
  <c r="T8" i="23"/>
  <c r="T9" i="23"/>
  <c r="T10" i="23"/>
  <c r="T11" i="23"/>
  <c r="T12" i="23"/>
  <c r="T13" i="23"/>
  <c r="T14" i="23"/>
  <c r="T15" i="23"/>
  <c r="T16" i="23"/>
  <c r="T17" i="23"/>
  <c r="T18" i="23"/>
  <c r="T19" i="23"/>
  <c r="T20" i="23"/>
  <c r="T21" i="23"/>
  <c r="T22" i="23"/>
  <c r="T23" i="23"/>
  <c r="T24" i="23"/>
  <c r="T25" i="23"/>
  <c r="T26" i="23"/>
  <c r="T32" i="23"/>
  <c r="T33" i="23"/>
  <c r="T31" i="23"/>
  <c r="T30" i="23"/>
  <c r="T29" i="23"/>
  <c r="T28" i="23"/>
  <c r="T27" i="23"/>
  <c r="T6" i="23"/>
  <c r="G76" i="35"/>
  <c r="G75" i="35"/>
  <c r="O75" i="35" s="1"/>
  <c r="G74" i="35"/>
  <c r="O74" i="35" s="1"/>
  <c r="G73" i="35"/>
  <c r="G72" i="35"/>
  <c r="G70" i="35"/>
  <c r="G69" i="35"/>
  <c r="G68" i="35"/>
  <c r="G67" i="35"/>
  <c r="G66" i="35"/>
  <c r="G65" i="35"/>
  <c r="G64" i="35"/>
  <c r="G63" i="35"/>
  <c r="G62" i="35"/>
  <c r="G61" i="35"/>
  <c r="G60" i="35"/>
  <c r="G59" i="35"/>
  <c r="G58" i="35"/>
  <c r="G57" i="35"/>
  <c r="G56" i="35"/>
  <c r="G55" i="35"/>
  <c r="G53" i="35"/>
  <c r="G52" i="35"/>
  <c r="G51" i="35"/>
  <c r="G50" i="35"/>
  <c r="G49" i="35"/>
  <c r="G48" i="35"/>
  <c r="G47" i="35"/>
  <c r="N46" i="35"/>
  <c r="G46" i="35"/>
  <c r="G45" i="35"/>
  <c r="G44" i="35"/>
  <c r="N43" i="35"/>
  <c r="G43" i="35"/>
  <c r="G42" i="35"/>
  <c r="G41" i="35"/>
  <c r="G40" i="35"/>
  <c r="G39" i="35"/>
  <c r="G38" i="35"/>
  <c r="A38" i="35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49" i="35" s="1"/>
  <c r="A50" i="35" s="1"/>
  <c r="A51" i="35" s="1"/>
  <c r="A52" i="35" s="1"/>
  <c r="A53" i="35" s="1"/>
  <c r="A54" i="35" s="1"/>
  <c r="A55" i="35" s="1"/>
  <c r="A56" i="35" s="1"/>
  <c r="A57" i="35" s="1"/>
  <c r="A58" i="35" s="1"/>
  <c r="A59" i="35" s="1"/>
  <c r="A60" i="35" s="1"/>
  <c r="A61" i="35" s="1"/>
  <c r="A62" i="35" s="1"/>
  <c r="A63" i="35" s="1"/>
  <c r="A64" i="35" s="1"/>
  <c r="A65" i="35" s="1"/>
  <c r="A66" i="35" s="1"/>
  <c r="A67" i="35" s="1"/>
  <c r="A68" i="35" s="1"/>
  <c r="A69" i="35" s="1"/>
  <c r="A70" i="35" s="1"/>
  <c r="G37" i="35"/>
  <c r="G36" i="35"/>
  <c r="G35" i="35"/>
  <c r="G34" i="35"/>
  <c r="G33" i="35"/>
  <c r="G32" i="35"/>
  <c r="G31" i="35"/>
  <c r="G30" i="35"/>
  <c r="G29" i="35"/>
  <c r="G28" i="35"/>
  <c r="G27" i="35"/>
  <c r="G26" i="35"/>
  <c r="G25" i="35"/>
  <c r="G24" i="35"/>
  <c r="G23" i="35"/>
  <c r="G22" i="35"/>
  <c r="G21" i="35"/>
  <c r="G20" i="35"/>
  <c r="G19" i="35"/>
  <c r="G18" i="35"/>
  <c r="G17" i="35"/>
  <c r="G16" i="35"/>
  <c r="G15" i="35"/>
  <c r="G14" i="35"/>
  <c r="G13" i="35"/>
  <c r="G12" i="35"/>
  <c r="G11" i="35"/>
  <c r="G10" i="35"/>
  <c r="G9" i="35"/>
  <c r="G8" i="35"/>
  <c r="G7" i="35"/>
  <c r="G6" i="35"/>
  <c r="G5" i="35"/>
  <c r="G4" i="35"/>
  <c r="G3" i="35"/>
  <c r="B6" i="34"/>
  <c r="B7" i="34" s="1"/>
  <c r="B8" i="34" s="1"/>
  <c r="B9" i="34" s="1"/>
  <c r="B10" i="34" s="1"/>
  <c r="B11" i="34" s="1"/>
  <c r="B12" i="34" s="1"/>
  <c r="B13" i="34" s="1"/>
  <c r="B14" i="34" s="1"/>
  <c r="B15" i="34" s="1"/>
  <c r="B16" i="34" s="1"/>
  <c r="B17" i="34" s="1"/>
  <c r="B18" i="34" s="1"/>
  <c r="B19" i="34" s="1"/>
  <c r="B20" i="34" s="1"/>
  <c r="B21" i="34" s="1"/>
  <c r="B22" i="34" s="1"/>
  <c r="B23" i="34" s="1"/>
  <c r="B24" i="34" s="1"/>
  <c r="B25" i="34" s="1"/>
  <c r="B26" i="34" s="1"/>
  <c r="B27" i="34" s="1"/>
  <c r="B28" i="34" s="1"/>
  <c r="B29" i="34" s="1"/>
  <c r="B30" i="34" s="1"/>
  <c r="B31" i="34" s="1"/>
  <c r="B32" i="34" s="1"/>
  <c r="B33" i="34" s="1"/>
  <c r="B34" i="34" s="1"/>
  <c r="B35" i="34" s="1"/>
  <c r="C37" i="34"/>
  <c r="D37" i="34"/>
  <c r="E37" i="34"/>
  <c r="U102" i="2"/>
  <c r="DH6" i="23"/>
  <c r="EB37" i="23"/>
  <c r="EB6" i="23"/>
  <c r="DU37" i="23"/>
  <c r="DU6" i="23"/>
  <c r="O37" i="7"/>
  <c r="AF6" i="23"/>
  <c r="F7" i="23"/>
  <c r="BI7" i="23" s="1"/>
  <c r="F8" i="23"/>
  <c r="BI8" i="23" s="1"/>
  <c r="F9" i="23"/>
  <c r="BI9" i="23" s="1"/>
  <c r="F10" i="23"/>
  <c r="BI10" i="23" s="1"/>
  <c r="F11" i="23"/>
  <c r="BI11" i="23" s="1"/>
  <c r="F12" i="23"/>
  <c r="BI12" i="23" s="1"/>
  <c r="F13" i="23"/>
  <c r="BI13" i="23" s="1"/>
  <c r="F14" i="23"/>
  <c r="BI14" i="23" s="1"/>
  <c r="F15" i="23"/>
  <c r="BI15" i="23" s="1"/>
  <c r="F16" i="23"/>
  <c r="BI16" i="23" s="1"/>
  <c r="F17" i="23"/>
  <c r="BI17" i="23" s="1"/>
  <c r="F18" i="23"/>
  <c r="BI18" i="23" s="1"/>
  <c r="F19" i="23"/>
  <c r="BI19" i="23" s="1"/>
  <c r="F20" i="23"/>
  <c r="BI20" i="23" s="1"/>
  <c r="F21" i="23"/>
  <c r="BI21" i="23" s="1"/>
  <c r="F22" i="23"/>
  <c r="BI22" i="23" s="1"/>
  <c r="F23" i="23"/>
  <c r="BI23" i="23" s="1"/>
  <c r="F24" i="23"/>
  <c r="BI24" i="23" s="1"/>
  <c r="F25" i="23"/>
  <c r="BI25" i="23" s="1"/>
  <c r="F26" i="23"/>
  <c r="BI26" i="23" s="1"/>
  <c r="F27" i="23"/>
  <c r="BI27" i="23" s="1"/>
  <c r="F28" i="23"/>
  <c r="BI28" i="23" s="1"/>
  <c r="F29" i="23"/>
  <c r="BI29" i="23" s="1"/>
  <c r="F30" i="23"/>
  <c r="BI30" i="23" s="1"/>
  <c r="F31" i="23"/>
  <c r="BI31" i="23" s="1"/>
  <c r="F32" i="23"/>
  <c r="BI32" i="23" s="1"/>
  <c r="F33" i="23"/>
  <c r="BI33" i="23" s="1"/>
  <c r="F6" i="23"/>
  <c r="BI6" i="23" s="1"/>
  <c r="J7" i="10"/>
  <c r="M7" i="10" s="1"/>
  <c r="J8" i="10"/>
  <c r="M8" i="10" s="1"/>
  <c r="J9" i="10"/>
  <c r="M9" i="10" s="1"/>
  <c r="J10" i="10"/>
  <c r="M10" i="10" s="1"/>
  <c r="J11" i="10"/>
  <c r="M11" i="10" s="1"/>
  <c r="J12" i="10"/>
  <c r="M12" i="10" s="1"/>
  <c r="J13" i="10"/>
  <c r="M13" i="10" s="1"/>
  <c r="J14" i="10"/>
  <c r="M14" i="10" s="1"/>
  <c r="J15" i="10"/>
  <c r="M15" i="10" s="1"/>
  <c r="J16" i="10"/>
  <c r="M16" i="10" s="1"/>
  <c r="J17" i="10"/>
  <c r="M17" i="10" s="1"/>
  <c r="J18" i="10"/>
  <c r="M18" i="10" s="1"/>
  <c r="J19" i="10"/>
  <c r="M19" i="10" s="1"/>
  <c r="J20" i="10"/>
  <c r="M20" i="10" s="1"/>
  <c r="J21" i="10"/>
  <c r="M21" i="10" s="1"/>
  <c r="J22" i="10"/>
  <c r="M22" i="10" s="1"/>
  <c r="J23" i="10"/>
  <c r="M23" i="10" s="1"/>
  <c r="J24" i="10"/>
  <c r="M24" i="10" s="1"/>
  <c r="J25" i="10"/>
  <c r="M25" i="10" s="1"/>
  <c r="J26" i="10"/>
  <c r="M26" i="10" s="1"/>
  <c r="J27" i="10"/>
  <c r="M27" i="10" s="1"/>
  <c r="J28" i="10"/>
  <c r="M28" i="10" s="1"/>
  <c r="J29" i="10"/>
  <c r="M29" i="10" s="1"/>
  <c r="J30" i="10"/>
  <c r="M30" i="10" s="1"/>
  <c r="J31" i="10"/>
  <c r="M31" i="10" s="1"/>
  <c r="J6" i="10"/>
  <c r="M6" i="10" s="1"/>
  <c r="O44" i="2"/>
  <c r="DG37" i="23"/>
  <c r="O140" i="2"/>
  <c r="O139" i="2"/>
  <c r="O141" i="2"/>
  <c r="O142" i="2"/>
  <c r="AF37" i="23"/>
  <c r="DH7" i="23"/>
  <c r="DH8" i="23"/>
  <c r="DH10" i="23"/>
  <c r="DH11" i="23"/>
  <c r="DH12" i="23"/>
  <c r="DH13" i="23"/>
  <c r="DH14" i="23"/>
  <c r="DH15" i="23"/>
  <c r="DH16" i="23"/>
  <c r="DH17" i="23"/>
  <c r="DH18" i="23"/>
  <c r="DH19" i="23"/>
  <c r="DH20" i="23"/>
  <c r="DH22" i="23"/>
  <c r="DH23" i="23"/>
  <c r="DH24" i="23"/>
  <c r="DH27" i="23"/>
  <c r="DH28" i="23"/>
  <c r="DH29" i="23"/>
  <c r="DH31" i="23"/>
  <c r="DH32" i="23"/>
  <c r="DH33" i="23"/>
  <c r="DH21" i="23"/>
  <c r="AH7" i="23"/>
  <c r="EC7" i="23" s="1"/>
  <c r="AH8" i="23"/>
  <c r="EC8" i="23" s="1"/>
  <c r="AH9" i="23"/>
  <c r="EC9" i="23" s="1"/>
  <c r="AH10" i="23"/>
  <c r="EC10" i="23" s="1"/>
  <c r="AH11" i="23"/>
  <c r="EC11" i="23" s="1"/>
  <c r="AH12" i="23"/>
  <c r="EC12" i="23" s="1"/>
  <c r="AH13" i="23"/>
  <c r="EC13" i="23" s="1"/>
  <c r="AH14" i="23"/>
  <c r="EC14" i="23" s="1"/>
  <c r="AH15" i="23"/>
  <c r="EC15" i="23" s="1"/>
  <c r="AH16" i="23"/>
  <c r="EC16" i="23" s="1"/>
  <c r="AH17" i="23"/>
  <c r="EC17" i="23" s="1"/>
  <c r="AH18" i="23"/>
  <c r="EC18" i="23" s="1"/>
  <c r="AH19" i="23"/>
  <c r="EC19" i="23" s="1"/>
  <c r="AH20" i="23"/>
  <c r="EC20" i="23" s="1"/>
  <c r="AH21" i="23"/>
  <c r="EC21" i="23" s="1"/>
  <c r="AH22" i="23"/>
  <c r="EC22" i="23" s="1"/>
  <c r="AH23" i="23"/>
  <c r="EC23" i="23" s="1"/>
  <c r="AH24" i="23"/>
  <c r="EC24" i="23" s="1"/>
  <c r="DH25" i="23"/>
  <c r="AH25" i="23"/>
  <c r="EC25" i="23" s="1"/>
  <c r="DH26" i="23"/>
  <c r="AH26" i="23"/>
  <c r="EC26" i="23" s="1"/>
  <c r="AH27" i="23"/>
  <c r="EC27" i="23" s="1"/>
  <c r="AH28" i="23"/>
  <c r="EC28" i="23" s="1"/>
  <c r="AH29" i="23"/>
  <c r="EC29" i="23" s="1"/>
  <c r="DH30" i="23"/>
  <c r="AH30" i="23"/>
  <c r="EC30" i="23" s="1"/>
  <c r="AH31" i="23"/>
  <c r="EC31" i="23" s="1"/>
  <c r="AH32" i="23"/>
  <c r="EC32" i="23" s="1"/>
  <c r="AH33" i="23"/>
  <c r="EC33" i="23" s="1"/>
  <c r="AH6" i="23"/>
  <c r="EC6" i="23" s="1"/>
  <c r="D91" i="1"/>
  <c r="J10" i="48" s="1"/>
  <c r="O22" i="2"/>
  <c r="V102" i="2"/>
  <c r="AG7" i="23"/>
  <c r="AG8" i="23"/>
  <c r="AG9" i="23"/>
  <c r="AG10" i="23"/>
  <c r="AG11" i="23"/>
  <c r="AG12" i="23"/>
  <c r="AG13" i="23"/>
  <c r="AG14" i="23"/>
  <c r="AG15" i="23"/>
  <c r="AG16" i="23"/>
  <c r="AG17" i="23"/>
  <c r="AG18" i="23"/>
  <c r="AG19" i="23"/>
  <c r="AG20" i="23"/>
  <c r="AG21" i="23"/>
  <c r="AG22" i="23"/>
  <c r="AG23" i="23"/>
  <c r="AG24" i="23"/>
  <c r="AG25" i="23"/>
  <c r="AG26" i="23"/>
  <c r="AG27" i="23"/>
  <c r="AG28" i="23"/>
  <c r="AG29" i="23"/>
  <c r="AG30" i="23"/>
  <c r="AG31" i="23"/>
  <c r="AG32" i="23"/>
  <c r="AG33" i="23"/>
  <c r="AG6" i="23"/>
  <c r="B3" i="5"/>
  <c r="D9" i="39"/>
  <c r="DG6" i="23"/>
  <c r="E34" i="1"/>
  <c r="R34" i="1"/>
  <c r="BH6" i="23"/>
  <c r="S31" i="1"/>
  <c r="D6" i="7"/>
  <c r="E6" i="7" s="1"/>
  <c r="X102" i="2"/>
  <c r="W102" i="2"/>
  <c r="O72" i="2"/>
  <c r="O65" i="2"/>
  <c r="O59" i="2"/>
  <c r="J81" i="1" s="1"/>
  <c r="O55" i="2"/>
  <c r="O50" i="2"/>
  <c r="J80" i="1" s="1"/>
  <c r="O143" i="2"/>
  <c r="O145" i="2"/>
  <c r="O144" i="2"/>
  <c r="O85" i="2"/>
  <c r="O79" i="2"/>
  <c r="O80" i="2"/>
  <c r="O78" i="2"/>
  <c r="O81" i="2"/>
  <c r="O83" i="2"/>
  <c r="O84" i="2"/>
  <c r="O82" i="2"/>
  <c r="O86" i="2"/>
  <c r="O87" i="2"/>
  <c r="O69" i="2"/>
  <c r="E36" i="6" l="1"/>
  <c r="D9" i="1"/>
  <c r="D22" i="1"/>
  <c r="A34" i="23"/>
  <c r="A35" i="23" s="1"/>
  <c r="A36" i="23" s="1"/>
  <c r="D7" i="7"/>
  <c r="E7" i="7" s="1"/>
  <c r="X34" i="36"/>
  <c r="E64" i="1" s="1"/>
  <c r="O64" i="1" s="1"/>
  <c r="R34" i="36"/>
  <c r="E63" i="1" s="1"/>
  <c r="BF34" i="36"/>
  <c r="E71" i="1" s="1"/>
  <c r="O71" i="1"/>
  <c r="AD34" i="36"/>
  <c r="E65" i="1" s="1"/>
  <c r="D63" i="1"/>
  <c r="O63" i="1" s="1"/>
  <c r="M43" i="35"/>
  <c r="M46" i="35"/>
  <c r="A5" i="36"/>
  <c r="D40" i="1"/>
  <c r="BA34" i="36"/>
  <c r="O69" i="1"/>
  <c r="AJ34" i="36"/>
  <c r="E66" i="1" s="1"/>
  <c r="G78" i="35"/>
  <c r="F70" i="1"/>
  <c r="J83" i="1"/>
  <c r="J82" i="1"/>
  <c r="E10" i="23"/>
  <c r="E35" i="23"/>
  <c r="EQ31" i="23"/>
  <c r="EQ27" i="23"/>
  <c r="EQ19" i="23"/>
  <c r="EQ15" i="23"/>
  <c r="EQ7" i="23"/>
  <c r="DS7" i="23"/>
  <c r="DN8" i="23" s="1"/>
  <c r="DS8" i="23" s="1"/>
  <c r="DN9" i="23" s="1"/>
  <c r="EQ34" i="23"/>
  <c r="EQ26" i="23"/>
  <c r="EQ22" i="23"/>
  <c r="EQ18" i="23"/>
  <c r="EQ14" i="23"/>
  <c r="EQ10" i="23"/>
  <c r="BW31" i="23"/>
  <c r="BW7" i="23"/>
  <c r="EQ33" i="23"/>
  <c r="EQ29" i="23"/>
  <c r="EQ25" i="23"/>
  <c r="EQ21" i="23"/>
  <c r="EQ17" i="23"/>
  <c r="EQ9" i="23"/>
  <c r="EQ35" i="23"/>
  <c r="EQ23" i="23"/>
  <c r="EQ11" i="23"/>
  <c r="EQ30" i="23"/>
  <c r="EQ36" i="23"/>
  <c r="EQ32" i="23"/>
  <c r="EQ28" i="23"/>
  <c r="EQ24" i="23"/>
  <c r="EQ20" i="23"/>
  <c r="EQ16" i="23"/>
  <c r="EQ12" i="23"/>
  <c r="EQ8" i="23"/>
  <c r="E16" i="23"/>
  <c r="E30" i="23"/>
  <c r="E14" i="23"/>
  <c r="W6" i="23"/>
  <c r="S7" i="23" s="1"/>
  <c r="BW35" i="23"/>
  <c r="BW16" i="23"/>
  <c r="D65" i="1"/>
  <c r="D71" i="1"/>
  <c r="E31" i="23"/>
  <c r="E28" i="23"/>
  <c r="E20" i="23"/>
  <c r="E12" i="23"/>
  <c r="BW28" i="23"/>
  <c r="BW10" i="23"/>
  <c r="L34" i="36"/>
  <c r="E61" i="1" s="1"/>
  <c r="O61" i="1" s="1"/>
  <c r="O47" i="2"/>
  <c r="J79" i="1" s="1"/>
  <c r="E34" i="23"/>
  <c r="E19" i="23"/>
  <c r="BW25" i="23"/>
  <c r="BW13" i="23"/>
  <c r="E17" i="23"/>
  <c r="E6" i="23"/>
  <c r="M21" i="41"/>
  <c r="H68" i="1"/>
  <c r="BW33" i="23"/>
  <c r="BW23" i="23"/>
  <c r="BW15" i="23"/>
  <c r="J50" i="7"/>
  <c r="O56" i="2"/>
  <c r="O45" i="2"/>
  <c r="L79" i="1" s="1"/>
  <c r="D39" i="1"/>
  <c r="J15" i="40"/>
  <c r="S80" i="1"/>
  <c r="M37" i="10"/>
  <c r="BC30" i="36"/>
  <c r="BF30" i="36" s="1"/>
  <c r="BC31" i="36"/>
  <c r="BF31" i="36" s="1"/>
  <c r="BC32" i="36" s="1"/>
  <c r="BF32" i="36" s="1"/>
  <c r="BC33" i="36" s="1"/>
  <c r="BF33" i="36" s="1"/>
  <c r="AV34" i="36"/>
  <c r="E68" i="1" s="1"/>
  <c r="AR30" i="36"/>
  <c r="AV30" i="36" s="1"/>
  <c r="AR31" i="36" s="1"/>
  <c r="AV31" i="36" s="1"/>
  <c r="AR32" i="36" s="1"/>
  <c r="AV32" i="36" s="1"/>
  <c r="AR33" i="36" s="1"/>
  <c r="AV33" i="36" s="1"/>
  <c r="DL6" i="23"/>
  <c r="DG7" i="23" s="1"/>
  <c r="DL7" i="23" s="1"/>
  <c r="DG8" i="23" s="1"/>
  <c r="DL8" i="23" s="1"/>
  <c r="DG9" i="23" s="1"/>
  <c r="D66" i="1"/>
  <c r="BW32" i="23"/>
  <c r="BW8" i="23"/>
  <c r="F34" i="36"/>
  <c r="E62" i="1" s="1"/>
  <c r="D62" i="1"/>
  <c r="BW24" i="23"/>
  <c r="BW20" i="23"/>
  <c r="E22" i="23"/>
  <c r="BW12" i="23"/>
  <c r="E26" i="23"/>
  <c r="E11" i="23"/>
  <c r="E8" i="23"/>
  <c r="E25" i="23"/>
  <c r="E18" i="23"/>
  <c r="E7" i="23"/>
  <c r="BW36" i="23"/>
  <c r="E33" i="23"/>
  <c r="E27" i="23"/>
  <c r="E24" i="23"/>
  <c r="E21" i="23"/>
  <c r="E15" i="23"/>
  <c r="BW29" i="23"/>
  <c r="BW21" i="23"/>
  <c r="BW17" i="23"/>
  <c r="BW9" i="23"/>
  <c r="E32" i="23"/>
  <c r="E29" i="23"/>
  <c r="E23" i="23"/>
  <c r="E9" i="23"/>
  <c r="BW18" i="23"/>
  <c r="DE6" i="23"/>
  <c r="CY7" i="23" s="1"/>
  <c r="DE7" i="23" s="1"/>
  <c r="CY8" i="23" s="1"/>
  <c r="DE8" i="23" s="1"/>
  <c r="CY9" i="23" s="1"/>
  <c r="DE9" i="23" s="1"/>
  <c r="CY10" i="23" s="1"/>
  <c r="DE10" i="23" s="1"/>
  <c r="CY11" i="23" s="1"/>
  <c r="DE11" i="23" s="1"/>
  <c r="CY12" i="23" s="1"/>
  <c r="DE12" i="23" s="1"/>
  <c r="CY13" i="23" s="1"/>
  <c r="DE13" i="23" s="1"/>
  <c r="CY14" i="23" s="1"/>
  <c r="DE14" i="23" s="1"/>
  <c r="CY15" i="23" s="1"/>
  <c r="DE15" i="23" s="1"/>
  <c r="CY16" i="23" s="1"/>
  <c r="DE16" i="23" s="1"/>
  <c r="CY17" i="23" s="1"/>
  <c r="DE17" i="23" s="1"/>
  <c r="CY18" i="23" s="1"/>
  <c r="DE18" i="23" s="1"/>
  <c r="CY19" i="23" s="1"/>
  <c r="DE19" i="23" s="1"/>
  <c r="CY20" i="23" s="1"/>
  <c r="DE20" i="23" s="1"/>
  <c r="CY21" i="23" s="1"/>
  <c r="DE21" i="23" s="1"/>
  <c r="CY22" i="23" s="1"/>
  <c r="DE22" i="23" s="1"/>
  <c r="CY23" i="23" s="1"/>
  <c r="DE23" i="23" s="1"/>
  <c r="CY24" i="23" s="1"/>
  <c r="DE24" i="23" s="1"/>
  <c r="CY25" i="23" s="1"/>
  <c r="DE25" i="23" s="1"/>
  <c r="CY26" i="23" s="1"/>
  <c r="DE26" i="23" s="1"/>
  <c r="CY27" i="23" s="1"/>
  <c r="DE27" i="23" s="1"/>
  <c r="CY28" i="23" s="1"/>
  <c r="DE28" i="23" s="1"/>
  <c r="CY29" i="23" s="1"/>
  <c r="DE29" i="23" s="1"/>
  <c r="CY30" i="23" s="1"/>
  <c r="DE30" i="23" s="1"/>
  <c r="CY31" i="23" s="1"/>
  <c r="DE31" i="23" s="1"/>
  <c r="CY32" i="23" s="1"/>
  <c r="DE32" i="23" s="1"/>
  <c r="CY33" i="23" s="1"/>
  <c r="DE33" i="23" s="1"/>
  <c r="CY34" i="23" s="1"/>
  <c r="DE34" i="23" s="1"/>
  <c r="CY35" i="23" s="1"/>
  <c r="DE35" i="23" s="1"/>
  <c r="CY36" i="23" s="1"/>
  <c r="DE36" i="23" s="1"/>
  <c r="BW34" i="23"/>
  <c r="BW26" i="23"/>
  <c r="BW6" i="23"/>
  <c r="CA6" i="23" s="1"/>
  <c r="BV7" i="23" s="1"/>
  <c r="F46" i="7"/>
  <c r="I46" i="7" s="1"/>
  <c r="A11" i="7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I41" i="7" s="1"/>
  <c r="L37" i="10"/>
  <c r="D37" i="10"/>
  <c r="D41" i="10" s="1"/>
  <c r="R32" i="1" s="1"/>
  <c r="A9" i="6"/>
  <c r="A6" i="36"/>
  <c r="A4" i="36"/>
  <c r="B4" i="5"/>
  <c r="B5" i="5" s="1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H4" i="1"/>
  <c r="DZ6" i="23"/>
  <c r="DU7" i="23" s="1"/>
  <c r="DZ7" i="23" s="1"/>
  <c r="DU8" i="23" s="1"/>
  <c r="DZ8" i="23" s="1"/>
  <c r="DU9" i="23" s="1"/>
  <c r="BW30" i="23"/>
  <c r="BW27" i="23"/>
  <c r="BW22" i="23"/>
  <c r="BW19" i="23"/>
  <c r="BW14" i="23"/>
  <c r="BW11" i="23"/>
  <c r="CO6" i="23"/>
  <c r="CJ7" i="23" s="1"/>
  <c r="CO7" i="23" s="1"/>
  <c r="CJ8" i="23" s="1"/>
  <c r="CO8" i="23" s="1"/>
  <c r="CJ9" i="23" s="1"/>
  <c r="CO9" i="23" s="1"/>
  <c r="CJ10" i="23" s="1"/>
  <c r="CO10" i="23" s="1"/>
  <c r="CJ11" i="23" s="1"/>
  <c r="CO11" i="23" s="1"/>
  <c r="CJ12" i="23" s="1"/>
  <c r="CO12" i="23" s="1"/>
  <c r="CJ13" i="23" s="1"/>
  <c r="CO13" i="23" s="1"/>
  <c r="CJ14" i="23" s="1"/>
  <c r="CO14" i="23" s="1"/>
  <c r="CJ15" i="23" s="1"/>
  <c r="CO15" i="23" s="1"/>
  <c r="CJ16" i="23" s="1"/>
  <c r="CO16" i="23" s="1"/>
  <c r="CJ17" i="23" s="1"/>
  <c r="CO17" i="23" s="1"/>
  <c r="CJ18" i="23" s="1"/>
  <c r="CO18" i="23" s="1"/>
  <c r="CJ19" i="23" s="1"/>
  <c r="CO19" i="23" s="1"/>
  <c r="CJ20" i="23" s="1"/>
  <c r="CO20" i="23" s="1"/>
  <c r="CJ21" i="23" s="1"/>
  <c r="CO21" i="23" s="1"/>
  <c r="CJ22" i="23" s="1"/>
  <c r="CO22" i="23" s="1"/>
  <c r="CJ23" i="23" s="1"/>
  <c r="CO23" i="23" s="1"/>
  <c r="CJ24" i="23" s="1"/>
  <c r="CO24" i="23" s="1"/>
  <c r="CJ25" i="23" s="1"/>
  <c r="CO25" i="23" s="1"/>
  <c r="CJ26" i="23" s="1"/>
  <c r="CO26" i="23" s="1"/>
  <c r="CJ27" i="23" s="1"/>
  <c r="CO27" i="23" s="1"/>
  <c r="CJ28" i="23" s="1"/>
  <c r="CO28" i="23" s="1"/>
  <c r="CJ29" i="23" s="1"/>
  <c r="CO29" i="23" s="1"/>
  <c r="CJ30" i="23" s="1"/>
  <c r="CO30" i="23" s="1"/>
  <c r="CJ31" i="23" s="1"/>
  <c r="CO31" i="23" s="1"/>
  <c r="CJ32" i="23" s="1"/>
  <c r="CO32" i="23" s="1"/>
  <c r="CJ33" i="23" s="1"/>
  <c r="CO33" i="23" s="1"/>
  <c r="CJ34" i="23" s="1"/>
  <c r="CO34" i="23" s="1"/>
  <c r="CJ35" i="23" s="1"/>
  <c r="CO35" i="23" s="1"/>
  <c r="CJ36" i="23" s="1"/>
  <c r="CO36" i="23" s="1"/>
  <c r="BF6" i="23"/>
  <c r="EG6" i="23"/>
  <c r="EB7" i="23" s="1"/>
  <c r="EG7" i="23" s="1"/>
  <c r="EB8" i="23" s="1"/>
  <c r="EG8" i="23" s="1"/>
  <c r="EB9" i="23" s="1"/>
  <c r="EG9" i="23" s="1"/>
  <c r="EB10" i="23" s="1"/>
  <c r="EG10" i="23" s="1"/>
  <c r="EB11" i="23" s="1"/>
  <c r="EG11" i="23" s="1"/>
  <c r="EB12" i="23" s="1"/>
  <c r="EG12" i="23" s="1"/>
  <c r="EB13" i="23" s="1"/>
  <c r="EG13" i="23" s="1"/>
  <c r="EB14" i="23" s="1"/>
  <c r="EG14" i="23" s="1"/>
  <c r="EB15" i="23" s="1"/>
  <c r="EG15" i="23" s="1"/>
  <c r="EB16" i="23" s="1"/>
  <c r="EG16" i="23" s="1"/>
  <c r="EB17" i="23" s="1"/>
  <c r="EG17" i="23" s="1"/>
  <c r="EB18" i="23" s="1"/>
  <c r="EG18" i="23" s="1"/>
  <c r="EB19" i="23" s="1"/>
  <c r="EG19" i="23" s="1"/>
  <c r="EB20" i="23" s="1"/>
  <c r="EG20" i="23" s="1"/>
  <c r="EB21" i="23" s="1"/>
  <c r="EG21" i="23" s="1"/>
  <c r="EB22" i="23" s="1"/>
  <c r="EG22" i="23" s="1"/>
  <c r="EB23" i="23" s="1"/>
  <c r="EG23" i="23" s="1"/>
  <c r="EB24" i="23" s="1"/>
  <c r="EG24" i="23" s="1"/>
  <c r="EB25" i="23" s="1"/>
  <c r="EG25" i="23" s="1"/>
  <c r="EB26" i="23" s="1"/>
  <c r="EG26" i="23" s="1"/>
  <c r="EB27" i="23" s="1"/>
  <c r="EG27" i="23" s="1"/>
  <c r="EB28" i="23" s="1"/>
  <c r="EG28" i="23" s="1"/>
  <c r="EB29" i="23" s="1"/>
  <c r="EG29" i="23" s="1"/>
  <c r="EB30" i="23" s="1"/>
  <c r="EG30" i="23" s="1"/>
  <c r="EB31" i="23" s="1"/>
  <c r="EG31" i="23" s="1"/>
  <c r="EB32" i="23" s="1"/>
  <c r="EG32" i="23" s="1"/>
  <c r="EB33" i="23" s="1"/>
  <c r="EG33" i="23" s="1"/>
  <c r="EB34" i="23" s="1"/>
  <c r="EG34" i="23" s="1"/>
  <c r="EB35" i="23" s="1"/>
  <c r="EG35" i="23" s="1"/>
  <c r="EB36" i="23" s="1"/>
  <c r="EG36" i="23" s="1"/>
  <c r="DV9" i="23"/>
  <c r="DH9" i="23"/>
  <c r="BM6" i="23"/>
  <c r="BH7" i="23" s="1"/>
  <c r="BM7" i="23" s="1"/>
  <c r="BH8" i="23" s="1"/>
  <c r="BM8" i="23" s="1"/>
  <c r="BH9" i="23" s="1"/>
  <c r="BM9" i="23" s="1"/>
  <c r="BH10" i="23" s="1"/>
  <c r="BM10" i="23" s="1"/>
  <c r="BH11" i="23" s="1"/>
  <c r="BM11" i="23" s="1"/>
  <c r="BH12" i="23" s="1"/>
  <c r="BM12" i="23" s="1"/>
  <c r="BH13" i="23" s="1"/>
  <c r="BM13" i="23" s="1"/>
  <c r="BH14" i="23" s="1"/>
  <c r="BM14" i="23" s="1"/>
  <c r="BH15" i="23" s="1"/>
  <c r="BM15" i="23" s="1"/>
  <c r="BH16" i="23" s="1"/>
  <c r="BM16" i="23" s="1"/>
  <c r="BH17" i="23" s="1"/>
  <c r="BM17" i="23" s="1"/>
  <c r="BH18" i="23" s="1"/>
  <c r="BM18" i="23" s="1"/>
  <c r="BH19" i="23" s="1"/>
  <c r="BM19" i="23" s="1"/>
  <c r="BH20" i="23" s="1"/>
  <c r="BM20" i="23" s="1"/>
  <c r="BH21" i="23" s="1"/>
  <c r="BM21" i="23" s="1"/>
  <c r="BH22" i="23" s="1"/>
  <c r="BM22" i="23" s="1"/>
  <c r="BH23" i="23" s="1"/>
  <c r="BM23" i="23" s="1"/>
  <c r="BH24" i="23" s="1"/>
  <c r="BM24" i="23" s="1"/>
  <c r="BH25" i="23" s="1"/>
  <c r="BM25" i="23" s="1"/>
  <c r="BH26" i="23" s="1"/>
  <c r="BM26" i="23" s="1"/>
  <c r="BH27" i="23" s="1"/>
  <c r="BM27" i="23" s="1"/>
  <c r="BH28" i="23" s="1"/>
  <c r="BM28" i="23" s="1"/>
  <c r="BH29" i="23" s="1"/>
  <c r="BM29" i="23" s="1"/>
  <c r="BH30" i="23" s="1"/>
  <c r="BM30" i="23" s="1"/>
  <c r="BH31" i="23" s="1"/>
  <c r="BM31" i="23" s="1"/>
  <c r="BH32" i="23" s="1"/>
  <c r="BM32" i="23" s="1"/>
  <c r="BH33" i="23" s="1"/>
  <c r="BM33" i="23" s="1"/>
  <c r="BH34" i="23" s="1"/>
  <c r="BM34" i="23" s="1"/>
  <c r="BH35" i="23" s="1"/>
  <c r="BM35" i="23" s="1"/>
  <c r="BH36" i="23" s="1"/>
  <c r="BM36" i="23" s="1"/>
  <c r="EQ13" i="23"/>
  <c r="EQ6" i="23"/>
  <c r="AK6" i="23"/>
  <c r="AF7" i="23" s="1"/>
  <c r="AK7" i="23" s="1"/>
  <c r="AF8" i="23" s="1"/>
  <c r="AK8" i="23" s="1"/>
  <c r="AF9" i="23" s="1"/>
  <c r="AK9" i="23" s="1"/>
  <c r="AF10" i="23" s="1"/>
  <c r="AK10" i="23" s="1"/>
  <c r="AF11" i="23" s="1"/>
  <c r="AK11" i="23" s="1"/>
  <c r="AF12" i="23" s="1"/>
  <c r="AK12" i="23" s="1"/>
  <c r="AF13" i="23" s="1"/>
  <c r="AK13" i="23" s="1"/>
  <c r="AF14" i="23" s="1"/>
  <c r="AK14" i="23" s="1"/>
  <c r="AF15" i="23" s="1"/>
  <c r="AK15" i="23" s="1"/>
  <c r="AF16" i="23" s="1"/>
  <c r="AK16" i="23" s="1"/>
  <c r="AF17" i="23" s="1"/>
  <c r="AK17" i="23" s="1"/>
  <c r="AF18" i="23" s="1"/>
  <c r="AK18" i="23" s="1"/>
  <c r="AF19" i="23" s="1"/>
  <c r="AK19" i="23" s="1"/>
  <c r="AF20" i="23" s="1"/>
  <c r="AK20" i="23" s="1"/>
  <c r="AF21" i="23" s="1"/>
  <c r="AK21" i="23" s="1"/>
  <c r="AF22" i="23" s="1"/>
  <c r="AK22" i="23" s="1"/>
  <c r="AF23" i="23" s="1"/>
  <c r="AK23" i="23" s="1"/>
  <c r="AF24" i="23" s="1"/>
  <c r="AK24" i="23" s="1"/>
  <c r="AF25" i="23" s="1"/>
  <c r="AK25" i="23" s="1"/>
  <c r="AF26" i="23" s="1"/>
  <c r="AK26" i="23" s="1"/>
  <c r="AF27" i="23" s="1"/>
  <c r="AK27" i="23" s="1"/>
  <c r="AF28" i="23" s="1"/>
  <c r="AK28" i="23" s="1"/>
  <c r="AF29" i="23" s="1"/>
  <c r="AK29" i="23" s="1"/>
  <c r="AF30" i="23" s="1"/>
  <c r="AK30" i="23" s="1"/>
  <c r="AF31" i="23" s="1"/>
  <c r="AK31" i="23" s="1"/>
  <c r="AF32" i="23" s="1"/>
  <c r="AK32" i="23" s="1"/>
  <c r="AF33" i="23" s="1"/>
  <c r="AK33" i="23" s="1"/>
  <c r="AF34" i="23" s="1"/>
  <c r="AK34" i="23" s="1"/>
  <c r="AF35" i="23" s="1"/>
  <c r="AK35" i="23" s="1"/>
  <c r="AF36" i="23" s="1"/>
  <c r="AK36" i="23" s="1"/>
  <c r="AR6" i="23"/>
  <c r="AM7" i="23" s="1"/>
  <c r="AR7" i="23" s="1"/>
  <c r="AM8" i="23" s="1"/>
  <c r="AR8" i="23" s="1"/>
  <c r="AM9" i="23" s="1"/>
  <c r="AR9" i="23" s="1"/>
  <c r="AM10" i="23" s="1"/>
  <c r="AR10" i="23" s="1"/>
  <c r="AM11" i="23" s="1"/>
  <c r="AR11" i="23" s="1"/>
  <c r="AM12" i="23" s="1"/>
  <c r="AR12" i="23" s="1"/>
  <c r="AM13" i="23" s="1"/>
  <c r="AR13" i="23" s="1"/>
  <c r="AM14" i="23" s="1"/>
  <c r="AR14" i="23" s="1"/>
  <c r="AM15" i="23" s="1"/>
  <c r="AR15" i="23" s="1"/>
  <c r="AM16" i="23" s="1"/>
  <c r="AR16" i="23" s="1"/>
  <c r="AM17" i="23" s="1"/>
  <c r="AR17" i="23" s="1"/>
  <c r="AM18" i="23" s="1"/>
  <c r="AR18" i="23" s="1"/>
  <c r="AM19" i="23" s="1"/>
  <c r="AR19" i="23" s="1"/>
  <c r="AM20" i="23" s="1"/>
  <c r="AR20" i="23" s="1"/>
  <c r="AM21" i="23" s="1"/>
  <c r="AR21" i="23" s="1"/>
  <c r="AM22" i="23" s="1"/>
  <c r="AR22" i="23" s="1"/>
  <c r="AM23" i="23" s="1"/>
  <c r="AR23" i="23" s="1"/>
  <c r="AM24" i="23" s="1"/>
  <c r="AR24" i="23" s="1"/>
  <c r="AM25" i="23" s="1"/>
  <c r="AR25" i="23" s="1"/>
  <c r="AM26" i="23" s="1"/>
  <c r="AR26" i="23" s="1"/>
  <c r="AM27" i="23" s="1"/>
  <c r="AR27" i="23" s="1"/>
  <c r="AM28" i="23" s="1"/>
  <c r="AR28" i="23" s="1"/>
  <c r="AM29" i="23" s="1"/>
  <c r="AR29" i="23" s="1"/>
  <c r="AM30" i="23" s="1"/>
  <c r="AR30" i="23" s="1"/>
  <c r="AM31" i="23" s="1"/>
  <c r="AR31" i="23" s="1"/>
  <c r="AM32" i="23" s="1"/>
  <c r="AR32" i="23" s="1"/>
  <c r="AM33" i="23" s="1"/>
  <c r="AR33" i="23" s="1"/>
  <c r="AM34" i="23" s="1"/>
  <c r="AR34" i="23" s="1"/>
  <c r="AM35" i="23" s="1"/>
  <c r="AR35" i="23" s="1"/>
  <c r="AM36" i="23" s="1"/>
  <c r="AR36" i="23" s="1"/>
  <c r="O73" i="2"/>
  <c r="I37" i="10"/>
  <c r="H39" i="10" s="1"/>
  <c r="H40" i="10" s="1"/>
  <c r="H42" i="10" s="1"/>
  <c r="E37" i="10"/>
  <c r="D39" i="10" s="1"/>
  <c r="D40" i="10" s="1"/>
  <c r="CG37" i="23" l="1"/>
  <c r="CF37" i="23"/>
  <c r="CE37" i="23"/>
  <c r="Q6" i="23"/>
  <c r="B7" i="23" s="1"/>
  <c r="Q7" i="23" s="1"/>
  <c r="CH6" i="23"/>
  <c r="CC7" i="23" s="1"/>
  <c r="CH7" i="23" s="1"/>
  <c r="CC8" i="23" s="1"/>
  <c r="CH8" i="23" s="1"/>
  <c r="CC9" i="23" s="1"/>
  <c r="CH9" i="23" s="1"/>
  <c r="CC10" i="23" s="1"/>
  <c r="CH10" i="23" s="1"/>
  <c r="CC11" i="23" s="1"/>
  <c r="CH11" i="23" s="1"/>
  <c r="CC12" i="23" s="1"/>
  <c r="CH12" i="23" s="1"/>
  <c r="CC13" i="23" s="1"/>
  <c r="CH13" i="23" s="1"/>
  <c r="CC14" i="23" s="1"/>
  <c r="CH14" i="23" s="1"/>
  <c r="CC15" i="23" s="1"/>
  <c r="CH15" i="23" s="1"/>
  <c r="CC16" i="23" s="1"/>
  <c r="CH16" i="23" s="1"/>
  <c r="CC17" i="23" s="1"/>
  <c r="CH17" i="23" s="1"/>
  <c r="CC18" i="23" s="1"/>
  <c r="CH18" i="23" s="1"/>
  <c r="CC19" i="23" s="1"/>
  <c r="CH19" i="23" s="1"/>
  <c r="CC20" i="23" s="1"/>
  <c r="CH20" i="23" s="1"/>
  <c r="CC21" i="23" s="1"/>
  <c r="CH21" i="23" s="1"/>
  <c r="CC22" i="23" s="1"/>
  <c r="CH22" i="23" s="1"/>
  <c r="CC23" i="23" s="1"/>
  <c r="CH23" i="23" s="1"/>
  <c r="CC24" i="23" s="1"/>
  <c r="CH24" i="23" s="1"/>
  <c r="CC25" i="23" s="1"/>
  <c r="CH25" i="23" s="1"/>
  <c r="CC26" i="23" s="1"/>
  <c r="CH26" i="23" s="1"/>
  <c r="CC27" i="23" s="1"/>
  <c r="CH27" i="23" s="1"/>
  <c r="CC28" i="23" s="1"/>
  <c r="CH28" i="23" s="1"/>
  <c r="CC29" i="23" s="1"/>
  <c r="CH29" i="23" s="1"/>
  <c r="CC30" i="23" s="1"/>
  <c r="CH30" i="23" s="1"/>
  <c r="CC31" i="23" s="1"/>
  <c r="CH31" i="23" s="1"/>
  <c r="CC32" i="23" s="1"/>
  <c r="CH32" i="23" s="1"/>
  <c r="CC33" i="23" s="1"/>
  <c r="CH33" i="23" s="1"/>
  <c r="CC34" i="23" s="1"/>
  <c r="CH34" i="23" s="1"/>
  <c r="CC35" i="23" s="1"/>
  <c r="CH35" i="23" s="1"/>
  <c r="CC36" i="23" s="1"/>
  <c r="CH36" i="23" s="1"/>
  <c r="E19" i="1" s="1"/>
  <c r="D8" i="7"/>
  <c r="E8" i="7" s="1"/>
  <c r="Z37" i="23"/>
  <c r="T24" i="1" s="1"/>
  <c r="AA37" i="23"/>
  <c r="AC37" i="23"/>
  <c r="AB37" i="23"/>
  <c r="D31" i="1"/>
  <c r="K83" i="1"/>
  <c r="F78" i="1"/>
  <c r="BA7" i="23"/>
  <c r="BF7" i="23" s="1"/>
  <c r="BA8" i="23" s="1"/>
  <c r="BF8" i="23" s="1"/>
  <c r="BA9" i="23" s="1"/>
  <c r="BF9" i="23" s="1"/>
  <c r="BA10" i="23" s="1"/>
  <c r="BF10" i="23" s="1"/>
  <c r="BA11" i="23" s="1"/>
  <c r="BF11" i="23" s="1"/>
  <c r="BA12" i="23" s="1"/>
  <c r="BF12" i="23" s="1"/>
  <c r="BA13" i="23" s="1"/>
  <c r="BF13" i="23" s="1"/>
  <c r="BA14" i="23" s="1"/>
  <c r="BF14" i="23" s="1"/>
  <c r="BA15" i="23" s="1"/>
  <c r="BF15" i="23" s="1"/>
  <c r="BA16" i="23" s="1"/>
  <c r="BF16" i="23" s="1"/>
  <c r="BA17" i="23" s="1"/>
  <c r="BF17" i="23" s="1"/>
  <c r="BA18" i="23" s="1"/>
  <c r="BF18" i="23" s="1"/>
  <c r="BA19" i="23" s="1"/>
  <c r="BF19" i="23" s="1"/>
  <c r="BA20" i="23" s="1"/>
  <c r="BF20" i="23" s="1"/>
  <c r="BA21" i="23" s="1"/>
  <c r="BF21" i="23" s="1"/>
  <c r="BA22" i="23" s="1"/>
  <c r="BF22" i="23" s="1"/>
  <c r="BA23" i="23" s="1"/>
  <c r="BF23" i="23" s="1"/>
  <c r="BA24" i="23" s="1"/>
  <c r="BF24" i="23" s="1"/>
  <c r="BA25" i="23" s="1"/>
  <c r="BF25" i="23" s="1"/>
  <c r="BA26" i="23" s="1"/>
  <c r="BF26" i="23" s="1"/>
  <c r="BA27" i="23" s="1"/>
  <c r="BF27" i="23" s="1"/>
  <c r="BA28" i="23" s="1"/>
  <c r="BF28" i="23" s="1"/>
  <c r="BA29" i="23" s="1"/>
  <c r="BF29" i="23" s="1"/>
  <c r="BA30" i="23" s="1"/>
  <c r="BF30" i="23" s="1"/>
  <c r="BA31" i="23" s="1"/>
  <c r="BF31" i="23" s="1"/>
  <c r="BA32" i="23" s="1"/>
  <c r="BF32" i="23" s="1"/>
  <c r="BA33" i="23" s="1"/>
  <c r="BF33" i="23" s="1"/>
  <c r="BA34" i="23" s="1"/>
  <c r="BF34" i="23" s="1"/>
  <c r="BA35" i="23" s="1"/>
  <c r="BF35" i="23" s="1"/>
  <c r="BA36" i="23" s="1"/>
  <c r="BF36" i="23" s="1"/>
  <c r="EM37" i="23"/>
  <c r="DR37" i="23"/>
  <c r="CT37" i="23"/>
  <c r="BS37" i="23"/>
  <c r="R17" i="1" s="1"/>
  <c r="AU37" i="23"/>
  <c r="F13" i="1" s="1"/>
  <c r="M37" i="23"/>
  <c r="BC37" i="23"/>
  <c r="DW37" i="23"/>
  <c r="DC37" i="23"/>
  <c r="Q21" i="1" s="1"/>
  <c r="U37" i="23"/>
  <c r="R11" i="1" s="1"/>
  <c r="I37" i="23"/>
  <c r="BX37" i="23"/>
  <c r="BK37" i="23"/>
  <c r="O16" i="1" s="1"/>
  <c r="AN37" i="23"/>
  <c r="F12" i="1" s="1"/>
  <c r="AQ37" i="23"/>
  <c r="R12" i="1" s="1"/>
  <c r="EF37" i="23"/>
  <c r="CN37" i="23"/>
  <c r="F37" i="23"/>
  <c r="T37" i="23"/>
  <c r="BI37" i="23"/>
  <c r="F16" i="1" s="1"/>
  <c r="K37" i="23"/>
  <c r="EL37" i="23"/>
  <c r="DQ37" i="23"/>
  <c r="Q29" i="1" s="1"/>
  <c r="CS37" i="23"/>
  <c r="H20" i="1" s="1"/>
  <c r="BR37" i="23"/>
  <c r="O17" i="1" s="1"/>
  <c r="AV37" i="23"/>
  <c r="H13" i="1" s="1"/>
  <c r="G37" i="23"/>
  <c r="D37" i="23"/>
  <c r="CM37" i="23"/>
  <c r="DA37" i="23"/>
  <c r="EE37" i="23"/>
  <c r="Q25" i="1" s="1"/>
  <c r="AP37" i="23"/>
  <c r="DJ37" i="23"/>
  <c r="Q28" i="1" s="1"/>
  <c r="CK37" i="23"/>
  <c r="F14" i="1" s="1"/>
  <c r="H37" i="23"/>
  <c r="BE37" i="23"/>
  <c r="R14" i="1" s="1"/>
  <c r="ET37" i="23"/>
  <c r="BB37" i="23"/>
  <c r="F15" i="1" s="1"/>
  <c r="O37" i="23"/>
  <c r="M10" i="1" s="1"/>
  <c r="ED37" i="23"/>
  <c r="AO37" i="23"/>
  <c r="DY37" i="23"/>
  <c r="AH37" i="23"/>
  <c r="DI37" i="23"/>
  <c r="BL37" i="23"/>
  <c r="R16" i="1" s="1"/>
  <c r="V37" i="23"/>
  <c r="BY37" i="23"/>
  <c r="H18" i="1" s="1"/>
  <c r="EJ37" i="23"/>
  <c r="F26" i="1" s="1"/>
  <c r="X26" i="1" s="1"/>
  <c r="DP37" i="23"/>
  <c r="CV37" i="23"/>
  <c r="BQ37" i="23"/>
  <c r="H17" i="1" s="1"/>
  <c r="AX37" i="23"/>
  <c r="R13" i="1" s="1"/>
  <c r="ER37" i="23"/>
  <c r="BJ37" i="23"/>
  <c r="H16" i="1" s="1"/>
  <c r="BZ37" i="23"/>
  <c r="R18" i="1" s="1"/>
  <c r="P37" i="23"/>
  <c r="I10" i="1" s="1"/>
  <c r="EK37" i="23"/>
  <c r="AI37" i="23"/>
  <c r="CU37" i="23"/>
  <c r="Q20" i="1" s="1"/>
  <c r="BP37" i="23"/>
  <c r="F17" i="1" s="1"/>
  <c r="J37" i="23"/>
  <c r="AW37" i="23"/>
  <c r="O13" i="1" s="1"/>
  <c r="DB37" i="23"/>
  <c r="ES37" i="23"/>
  <c r="Q27" i="1" s="1"/>
  <c r="AG37" i="23"/>
  <c r="CL37" i="23"/>
  <c r="DX37" i="23"/>
  <c r="Q30" i="1" s="1"/>
  <c r="BD37" i="23"/>
  <c r="H19" i="1" s="1"/>
  <c r="CZ37" i="23"/>
  <c r="F21" i="1" s="1"/>
  <c r="DK37" i="23"/>
  <c r="DD37" i="23"/>
  <c r="L37" i="23"/>
  <c r="N37" i="23"/>
  <c r="EC37" i="23"/>
  <c r="F25" i="1" s="1"/>
  <c r="AJ37" i="23"/>
  <c r="O65" i="1"/>
  <c r="O66" i="1"/>
  <c r="K78" i="1"/>
  <c r="O5" i="2"/>
  <c r="Z76" i="1"/>
  <c r="DO37" i="23"/>
  <c r="CA7" i="23"/>
  <c r="BV8" i="23" s="1"/>
  <c r="CA8" i="23" s="1"/>
  <c r="BV9" i="23" s="1"/>
  <c r="CA9" i="23" s="1"/>
  <c r="BV10" i="23" s="1"/>
  <c r="CA10" i="23" s="1"/>
  <c r="BV11" i="23" s="1"/>
  <c r="CA11" i="23" s="1"/>
  <c r="BV12" i="23" s="1"/>
  <c r="CA12" i="23" s="1"/>
  <c r="BV13" i="23" s="1"/>
  <c r="CA13" i="23" s="1"/>
  <c r="BV14" i="23" s="1"/>
  <c r="CA14" i="23" s="1"/>
  <c r="BV15" i="23" s="1"/>
  <c r="CA15" i="23" s="1"/>
  <c r="BV16" i="23" s="1"/>
  <c r="CA16" i="23" s="1"/>
  <c r="BV17" i="23" s="1"/>
  <c r="CA17" i="23" s="1"/>
  <c r="BV18" i="23" s="1"/>
  <c r="CA18" i="23" s="1"/>
  <c r="BV19" i="23" s="1"/>
  <c r="CA19" i="23" s="1"/>
  <c r="BV20" i="23" s="1"/>
  <c r="CA20" i="23" s="1"/>
  <c r="BV21" i="23" s="1"/>
  <c r="CA21" i="23" s="1"/>
  <c r="BV22" i="23" s="1"/>
  <c r="CA22" i="23" s="1"/>
  <c r="BV23" i="23" s="1"/>
  <c r="CA23" i="23" s="1"/>
  <c r="BV24" i="23" s="1"/>
  <c r="CA24" i="23" s="1"/>
  <c r="BV25" i="23" s="1"/>
  <c r="CA25" i="23" s="1"/>
  <c r="BV26" i="23" s="1"/>
  <c r="CA26" i="23" s="1"/>
  <c r="BV27" i="23" s="1"/>
  <c r="CA27" i="23" s="1"/>
  <c r="BV28" i="23" s="1"/>
  <c r="CA28" i="23" s="1"/>
  <c r="BV29" i="23" s="1"/>
  <c r="CA29" i="23" s="1"/>
  <c r="BV30" i="23" s="1"/>
  <c r="CA30" i="23" s="1"/>
  <c r="BV31" i="23" s="1"/>
  <c r="CA31" i="23" s="1"/>
  <c r="BV32" i="23" s="1"/>
  <c r="CA32" i="23" s="1"/>
  <c r="BV33" i="23" s="1"/>
  <c r="CA33" i="23" s="1"/>
  <c r="BV34" i="23" s="1"/>
  <c r="CA34" i="23" s="1"/>
  <c r="BV35" i="23" s="1"/>
  <c r="CA35" i="23" s="1"/>
  <c r="BV36" i="23" s="1"/>
  <c r="CA36" i="23" s="1"/>
  <c r="DS9" i="23"/>
  <c r="DN10" i="23" s="1"/>
  <c r="DS10" i="23" s="1"/>
  <c r="DN11" i="23" s="1"/>
  <c r="DS11" i="23" s="1"/>
  <c r="DN12" i="23" s="1"/>
  <c r="DS12" i="23" s="1"/>
  <c r="DN13" i="23" s="1"/>
  <c r="DS13" i="23" s="1"/>
  <c r="DN14" i="23" s="1"/>
  <c r="DS14" i="23" s="1"/>
  <c r="DN15" i="23" s="1"/>
  <c r="DS15" i="23" s="1"/>
  <c r="DN16" i="23" s="1"/>
  <c r="DS16" i="23" s="1"/>
  <c r="DN17" i="23" s="1"/>
  <c r="DS17" i="23" s="1"/>
  <c r="DN18" i="23" s="1"/>
  <c r="DS18" i="23" s="1"/>
  <c r="DN19" i="23" s="1"/>
  <c r="DS19" i="23" s="1"/>
  <c r="DN20" i="23" s="1"/>
  <c r="DS20" i="23" s="1"/>
  <c r="DN21" i="23" s="1"/>
  <c r="DS21" i="23" s="1"/>
  <c r="DN22" i="23" s="1"/>
  <c r="DS22" i="23" s="1"/>
  <c r="DN23" i="23" s="1"/>
  <c r="DS23" i="23" s="1"/>
  <c r="DN24" i="23" s="1"/>
  <c r="DS24" i="23" s="1"/>
  <c r="DN25" i="23" s="1"/>
  <c r="DS25" i="23" s="1"/>
  <c r="DN26" i="23" s="1"/>
  <c r="DS26" i="23" s="1"/>
  <c r="DN27" i="23" s="1"/>
  <c r="DS27" i="23" s="1"/>
  <c r="DN28" i="23" s="1"/>
  <c r="DS28" i="23" s="1"/>
  <c r="DN29" i="23" s="1"/>
  <c r="DS29" i="23" s="1"/>
  <c r="DN30" i="23" s="1"/>
  <c r="DS30" i="23" s="1"/>
  <c r="DN31" i="23" s="1"/>
  <c r="DS31" i="23" s="1"/>
  <c r="DN32" i="23" s="1"/>
  <c r="DS32" i="23" s="1"/>
  <c r="DN33" i="23" s="1"/>
  <c r="DS33" i="23" s="1"/>
  <c r="DN34" i="23" s="1"/>
  <c r="DS34" i="23" s="1"/>
  <c r="DN35" i="23" s="1"/>
  <c r="DS35" i="23" s="1"/>
  <c r="DN36" i="23" s="1"/>
  <c r="DS36" i="23" s="1"/>
  <c r="W7" i="23"/>
  <c r="S8" i="23" s="1"/>
  <c r="M22" i="41"/>
  <c r="E33" i="1"/>
  <c r="T33" i="1" s="1"/>
  <c r="D42" i="10"/>
  <c r="E32" i="1" s="1"/>
  <c r="O62" i="1"/>
  <c r="C37" i="23"/>
  <c r="T10" i="1" s="1"/>
  <c r="T9" i="1" s="1"/>
  <c r="O68" i="1"/>
  <c r="K79" i="1"/>
  <c r="BW37" i="23"/>
  <c r="F18" i="1" s="1"/>
  <c r="P78" i="1"/>
  <c r="R81" i="1"/>
  <c r="P80" i="1"/>
  <c r="E2" i="40"/>
  <c r="P83" i="1"/>
  <c r="P79" i="1"/>
  <c r="F82" i="1"/>
  <c r="R78" i="1"/>
  <c r="R83" i="1"/>
  <c r="F79" i="1"/>
  <c r="R82" i="1"/>
  <c r="F81" i="1"/>
  <c r="H81" i="1"/>
  <c r="F83" i="1"/>
  <c r="P82" i="1"/>
  <c r="H82" i="1"/>
  <c r="H79" i="1"/>
  <c r="R79" i="1"/>
  <c r="F80" i="1"/>
  <c r="H83" i="1"/>
  <c r="R80" i="1"/>
  <c r="H42" i="7"/>
  <c r="A26" i="7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7" i="36"/>
  <c r="A10" i="6"/>
  <c r="DL9" i="23"/>
  <c r="DG10" i="23" s="1"/>
  <c r="DL10" i="23" s="1"/>
  <c r="DG11" i="23" s="1"/>
  <c r="DL11" i="23" s="1"/>
  <c r="DG12" i="23" s="1"/>
  <c r="DL12" i="23" s="1"/>
  <c r="DG13" i="23" s="1"/>
  <c r="DL13" i="23" s="1"/>
  <c r="DG14" i="23" s="1"/>
  <c r="DL14" i="23" s="1"/>
  <c r="DG15" i="23" s="1"/>
  <c r="DL15" i="23" s="1"/>
  <c r="DG16" i="23" s="1"/>
  <c r="DL16" i="23" s="1"/>
  <c r="DG17" i="23" s="1"/>
  <c r="DL17" i="23" s="1"/>
  <c r="DG18" i="23" s="1"/>
  <c r="DL18" i="23" s="1"/>
  <c r="DG19" i="23" s="1"/>
  <c r="DL19" i="23" s="1"/>
  <c r="DG20" i="23" s="1"/>
  <c r="DL20" i="23" s="1"/>
  <c r="DG21" i="23" s="1"/>
  <c r="DL21" i="23" s="1"/>
  <c r="DG22" i="23" s="1"/>
  <c r="DL22" i="23" s="1"/>
  <c r="DG23" i="23" s="1"/>
  <c r="DL23" i="23" s="1"/>
  <c r="DG24" i="23" s="1"/>
  <c r="DL24" i="23" s="1"/>
  <c r="DG25" i="23" s="1"/>
  <c r="DL25" i="23" s="1"/>
  <c r="DG26" i="23" s="1"/>
  <c r="DL26" i="23" s="1"/>
  <c r="DG27" i="23" s="1"/>
  <c r="DL27" i="23" s="1"/>
  <c r="DG28" i="23" s="1"/>
  <c r="DL28" i="23" s="1"/>
  <c r="DG29" i="23" s="1"/>
  <c r="DL29" i="23" s="1"/>
  <c r="DG30" i="23" s="1"/>
  <c r="DL30" i="23" s="1"/>
  <c r="DG31" i="23" s="1"/>
  <c r="DL31" i="23" s="1"/>
  <c r="DG32" i="23" s="1"/>
  <c r="DL32" i="23" s="1"/>
  <c r="DG33" i="23" s="1"/>
  <c r="DL33" i="23" s="1"/>
  <c r="DG34" i="23" s="1"/>
  <c r="DL34" i="23" s="1"/>
  <c r="DG35" i="23" s="1"/>
  <c r="DL35" i="23" s="1"/>
  <c r="DG36" i="23" s="1"/>
  <c r="DL36" i="23" s="1"/>
  <c r="DH37" i="23"/>
  <c r="EU6" i="23"/>
  <c r="EP7" i="23" s="1"/>
  <c r="EU7" i="23" s="1"/>
  <c r="EP8" i="23" s="1"/>
  <c r="EU8" i="23" s="1"/>
  <c r="EP9" i="23" s="1"/>
  <c r="EU9" i="23" s="1"/>
  <c r="EP10" i="23" s="1"/>
  <c r="EU10" i="23" s="1"/>
  <c r="EP11" i="23" s="1"/>
  <c r="EU11" i="23" s="1"/>
  <c r="EP12" i="23" s="1"/>
  <c r="EU12" i="23" s="1"/>
  <c r="EP13" i="23" s="1"/>
  <c r="EU13" i="23" s="1"/>
  <c r="EP14" i="23" s="1"/>
  <c r="EU14" i="23" s="1"/>
  <c r="EP15" i="23" s="1"/>
  <c r="EU15" i="23" s="1"/>
  <c r="EP16" i="23" s="1"/>
  <c r="EU16" i="23" s="1"/>
  <c r="EP17" i="23" s="1"/>
  <c r="EU17" i="23" s="1"/>
  <c r="EP18" i="23" s="1"/>
  <c r="EU18" i="23" s="1"/>
  <c r="EP19" i="23" s="1"/>
  <c r="EU19" i="23" s="1"/>
  <c r="EP20" i="23" s="1"/>
  <c r="EU20" i="23" s="1"/>
  <c r="EP21" i="23" s="1"/>
  <c r="EU21" i="23" s="1"/>
  <c r="EP22" i="23" s="1"/>
  <c r="EU22" i="23" s="1"/>
  <c r="EP23" i="23" s="1"/>
  <c r="EU23" i="23" s="1"/>
  <c r="EP24" i="23" s="1"/>
  <c r="EU24" i="23" s="1"/>
  <c r="EP25" i="23" s="1"/>
  <c r="EU25" i="23" s="1"/>
  <c r="EP26" i="23" s="1"/>
  <c r="EU26" i="23" s="1"/>
  <c r="EP27" i="23" s="1"/>
  <c r="EU27" i="23" s="1"/>
  <c r="EP28" i="23" s="1"/>
  <c r="EU28" i="23" s="1"/>
  <c r="EP29" i="23" s="1"/>
  <c r="EU29" i="23" s="1"/>
  <c r="EP30" i="23" s="1"/>
  <c r="EU30" i="23" s="1"/>
  <c r="EP31" i="23" s="1"/>
  <c r="EU31" i="23" s="1"/>
  <c r="EP32" i="23" s="1"/>
  <c r="EU32" i="23" s="1"/>
  <c r="EP33" i="23" s="1"/>
  <c r="EU33" i="23" s="1"/>
  <c r="EP34" i="23" s="1"/>
  <c r="EU34" i="23" s="1"/>
  <c r="EP35" i="23" s="1"/>
  <c r="EU35" i="23" s="1"/>
  <c r="EP36" i="23" s="1"/>
  <c r="EU36" i="23" s="1"/>
  <c r="EQ37" i="23"/>
  <c r="DV37" i="23"/>
  <c r="DZ9" i="23"/>
  <c r="DU10" i="23" s="1"/>
  <c r="DZ10" i="23" s="1"/>
  <c r="DU11" i="23" s="1"/>
  <c r="DZ11" i="23" s="1"/>
  <c r="DU12" i="23" s="1"/>
  <c r="DZ12" i="23" s="1"/>
  <c r="DU13" i="23" s="1"/>
  <c r="DZ13" i="23" s="1"/>
  <c r="DU14" i="23" s="1"/>
  <c r="DZ14" i="23" s="1"/>
  <c r="DU15" i="23" s="1"/>
  <c r="DZ15" i="23" s="1"/>
  <c r="DU16" i="23" s="1"/>
  <c r="DZ16" i="23" s="1"/>
  <c r="DU17" i="23" s="1"/>
  <c r="DZ17" i="23" s="1"/>
  <c r="DU18" i="23" s="1"/>
  <c r="DZ18" i="23" s="1"/>
  <c r="DU19" i="23" s="1"/>
  <c r="DZ19" i="23" s="1"/>
  <c r="DU20" i="23" s="1"/>
  <c r="DZ20" i="23" s="1"/>
  <c r="DU21" i="23" s="1"/>
  <c r="DZ21" i="23" s="1"/>
  <c r="DU22" i="23" s="1"/>
  <c r="DZ22" i="23" s="1"/>
  <c r="DU23" i="23" s="1"/>
  <c r="DZ23" i="23" s="1"/>
  <c r="DU24" i="23" s="1"/>
  <c r="DZ24" i="23" s="1"/>
  <c r="DU25" i="23" s="1"/>
  <c r="DZ25" i="23" s="1"/>
  <c r="DU26" i="23" s="1"/>
  <c r="DZ26" i="23" s="1"/>
  <c r="DU27" i="23" s="1"/>
  <c r="DZ27" i="23" s="1"/>
  <c r="DU28" i="23" s="1"/>
  <c r="DZ28" i="23" s="1"/>
  <c r="DU29" i="23" s="1"/>
  <c r="DZ29" i="23" s="1"/>
  <c r="DU30" i="23" s="1"/>
  <c r="DZ30" i="23" s="1"/>
  <c r="DU31" i="23" s="1"/>
  <c r="DZ31" i="23" s="1"/>
  <c r="DU32" i="23" s="1"/>
  <c r="DZ32" i="23" s="1"/>
  <c r="DU33" i="23" s="1"/>
  <c r="DZ33" i="23" s="1"/>
  <c r="DU34" i="23" s="1"/>
  <c r="DZ34" i="23" s="1"/>
  <c r="DU35" i="23" s="1"/>
  <c r="DZ35" i="23" s="1"/>
  <c r="DU36" i="23" s="1"/>
  <c r="DZ36" i="23" s="1"/>
  <c r="E37" i="23"/>
  <c r="L83" i="1"/>
  <c r="X25" i="1" l="1"/>
  <c r="AN37" i="7"/>
  <c r="R19" i="1" s="1"/>
  <c r="AR37" i="7"/>
  <c r="AV37" i="7"/>
  <c r="AZ37" i="7"/>
  <c r="BD37" i="7"/>
  <c r="S37" i="7"/>
  <c r="W37" i="7"/>
  <c r="AA37" i="7"/>
  <c r="AE37" i="7"/>
  <c r="AI37" i="7"/>
  <c r="AO37" i="7"/>
  <c r="AS37" i="7"/>
  <c r="AW37" i="7"/>
  <c r="BA37" i="7"/>
  <c r="BE37" i="7"/>
  <c r="T37" i="7"/>
  <c r="X37" i="7"/>
  <c r="AB37" i="7"/>
  <c r="AF37" i="7"/>
  <c r="AJ37" i="7"/>
  <c r="AP37" i="7"/>
  <c r="AT37" i="7"/>
  <c r="AX37" i="7"/>
  <c r="BB37" i="7"/>
  <c r="AM37" i="7"/>
  <c r="U37" i="7"/>
  <c r="Y37" i="7"/>
  <c r="AC37" i="7"/>
  <c r="AG37" i="7"/>
  <c r="AQ37" i="7"/>
  <c r="AU37" i="7"/>
  <c r="AY37" i="7"/>
  <c r="BC37" i="7"/>
  <c r="R37" i="7"/>
  <c r="V37" i="7"/>
  <c r="Z37" i="7"/>
  <c r="AD37" i="7"/>
  <c r="AH37" i="7"/>
  <c r="X18" i="1"/>
  <c r="X17" i="1"/>
  <c r="CD37" i="23"/>
  <c r="CH37" i="23" s="1"/>
  <c r="AK37" i="7"/>
  <c r="Q37" i="23"/>
  <c r="E10" i="1" s="1"/>
  <c r="B8" i="23"/>
  <c r="Q8" i="23" s="1"/>
  <c r="L10" i="1"/>
  <c r="X12" i="1"/>
  <c r="X13" i="1"/>
  <c r="X16" i="1"/>
  <c r="Q9" i="1"/>
  <c r="O9" i="1"/>
  <c r="O31" i="1" s="1"/>
  <c r="I9" i="1"/>
  <c r="K10" i="1"/>
  <c r="K9" i="1" s="1"/>
  <c r="K31" i="1" s="1"/>
  <c r="M9" i="1"/>
  <c r="G11" i="1"/>
  <c r="L11" i="1"/>
  <c r="G14" i="1" s="1"/>
  <c r="X14" i="1" s="1"/>
  <c r="D9" i="7"/>
  <c r="E9" i="7" s="1"/>
  <c r="L24" i="1"/>
  <c r="X24" i="1" s="1"/>
  <c r="AD37" i="23"/>
  <c r="E24" i="1" s="1"/>
  <c r="H22" i="1"/>
  <c r="Q22" i="1"/>
  <c r="V27" i="1"/>
  <c r="V25" i="1"/>
  <c r="T32" i="1"/>
  <c r="AC79" i="1"/>
  <c r="AG79" i="1"/>
  <c r="AK79" i="1"/>
  <c r="AD80" i="1"/>
  <c r="AH80" i="1"/>
  <c r="AA81" i="1"/>
  <c r="AE81" i="1"/>
  <c r="AI81" i="1"/>
  <c r="AC82" i="1"/>
  <c r="AG82" i="1"/>
  <c r="AK82" i="1"/>
  <c r="AD83" i="1"/>
  <c r="AH83" i="1"/>
  <c r="AA84" i="1"/>
  <c r="AE84" i="1"/>
  <c r="AI84" i="1"/>
  <c r="Z81" i="1"/>
  <c r="Z84" i="1"/>
  <c r="AE79" i="1"/>
  <c r="AB80" i="1"/>
  <c r="AJ80" i="1"/>
  <c r="AG81" i="1"/>
  <c r="AA82" i="1"/>
  <c r="AI82" i="1"/>
  <c r="AF83" i="1"/>
  <c r="AC84" i="1"/>
  <c r="AK84" i="1"/>
  <c r="AB79" i="1"/>
  <c r="AJ79" i="1"/>
  <c r="AG80" i="1"/>
  <c r="AD81" i="1"/>
  <c r="AF82" i="1"/>
  <c r="AC83" i="1"/>
  <c r="AK83" i="1"/>
  <c r="AH84" i="1"/>
  <c r="Z83" i="1"/>
  <c r="AD79" i="1"/>
  <c r="AH79" i="1"/>
  <c r="AA80" i="1"/>
  <c r="AE80" i="1"/>
  <c r="AI80" i="1"/>
  <c r="AB81" i="1"/>
  <c r="AF81" i="1"/>
  <c r="AJ81" i="1"/>
  <c r="AD82" i="1"/>
  <c r="AH82" i="1"/>
  <c r="AA83" i="1"/>
  <c r="AE83" i="1"/>
  <c r="AI83" i="1"/>
  <c r="AB84" i="1"/>
  <c r="AF84" i="1"/>
  <c r="AJ84" i="1"/>
  <c r="AA79" i="1"/>
  <c r="AI79" i="1"/>
  <c r="AF80" i="1"/>
  <c r="AC81" i="1"/>
  <c r="AK81" i="1"/>
  <c r="AE82" i="1"/>
  <c r="AB83" i="1"/>
  <c r="AJ83" i="1"/>
  <c r="AG84" i="1"/>
  <c r="Z82" i="1"/>
  <c r="AF79" i="1"/>
  <c r="AC80" i="1"/>
  <c r="AK80" i="1"/>
  <c r="AH81" i="1"/>
  <c r="AB82" i="1"/>
  <c r="AJ82" i="1"/>
  <c r="AG83" i="1"/>
  <c r="AD84" i="1"/>
  <c r="Z80" i="1"/>
  <c r="V16" i="1"/>
  <c r="V17" i="1"/>
  <c r="V26" i="1"/>
  <c r="O19" i="2"/>
  <c r="V13" i="1"/>
  <c r="DL37" i="23"/>
  <c r="E28" i="1" s="1"/>
  <c r="L23" i="1"/>
  <c r="X23" i="1" s="1"/>
  <c r="AR37" i="23"/>
  <c r="E12" i="1" s="1"/>
  <c r="EG37" i="23"/>
  <c r="V12" i="1"/>
  <c r="DE37" i="23"/>
  <c r="E21" i="1" s="1"/>
  <c r="AY37" i="23"/>
  <c r="E13" i="1" s="1"/>
  <c r="BT37" i="23"/>
  <c r="E17" i="1" s="1"/>
  <c r="W37" i="23"/>
  <c r="E11" i="1" s="1"/>
  <c r="AK37" i="23"/>
  <c r="E23" i="1" s="1"/>
  <c r="V18" i="1"/>
  <c r="BM37" i="23"/>
  <c r="E16" i="1" s="1"/>
  <c r="EN37" i="23"/>
  <c r="E26" i="1" s="1"/>
  <c r="Y26" i="1" s="1"/>
  <c r="BF37" i="23"/>
  <c r="CO37" i="23"/>
  <c r="E14" i="1" s="1"/>
  <c r="N20" i="2"/>
  <c r="N21" i="2"/>
  <c r="O21" i="2" s="1"/>
  <c r="DS37" i="23"/>
  <c r="E29" i="1" s="1"/>
  <c r="F29" i="1"/>
  <c r="W8" i="23"/>
  <c r="S9" i="23" s="1"/>
  <c r="CQ8" i="23"/>
  <c r="V34" i="1"/>
  <c r="W34" i="1" s="1"/>
  <c r="CA37" i="23"/>
  <c r="E18" i="1" s="1"/>
  <c r="F28" i="1"/>
  <c r="X28" i="1" s="1"/>
  <c r="M24" i="41"/>
  <c r="E6" i="39"/>
  <c r="C10" i="39"/>
  <c r="I82" i="1"/>
  <c r="F10" i="39" s="1"/>
  <c r="M59" i="7"/>
  <c r="C5" i="39"/>
  <c r="I78" i="1"/>
  <c r="F5" i="39" s="1"/>
  <c r="E10" i="39"/>
  <c r="E9" i="39"/>
  <c r="C6" i="39"/>
  <c r="I79" i="1"/>
  <c r="F6" i="39" s="1"/>
  <c r="A11" i="6"/>
  <c r="A8" i="36"/>
  <c r="I83" i="1"/>
  <c r="F11" i="39" s="1"/>
  <c r="E11" i="39"/>
  <c r="I81" i="1"/>
  <c r="F9" i="39" s="1"/>
  <c r="C9" i="39"/>
  <c r="C7" i="39"/>
  <c r="I80" i="1"/>
  <c r="F7" i="39" s="1"/>
  <c r="P15" i="40"/>
  <c r="C11" i="39"/>
  <c r="Z79" i="1"/>
  <c r="C8" i="39"/>
  <c r="F8" i="39"/>
  <c r="F30" i="1"/>
  <c r="X30" i="1" s="1"/>
  <c r="DZ37" i="23"/>
  <c r="E30" i="1" s="1"/>
  <c r="F27" i="1"/>
  <c r="X27" i="1" s="1"/>
  <c r="EU37" i="23"/>
  <c r="Y18" i="1" l="1"/>
  <c r="X32" i="1"/>
  <c r="Y32" i="1" s="1"/>
  <c r="Y17" i="1"/>
  <c r="Y30" i="1"/>
  <c r="Y28" i="1"/>
  <c r="Y24" i="1"/>
  <c r="Y23" i="1"/>
  <c r="Y14" i="1"/>
  <c r="Y13" i="1"/>
  <c r="Y12" i="1"/>
  <c r="Y16" i="1"/>
  <c r="D10" i="7"/>
  <c r="E10" i="7" s="1"/>
  <c r="B9" i="23"/>
  <c r="I31" i="1"/>
  <c r="K40" i="1"/>
  <c r="G9" i="1"/>
  <c r="X11" i="1"/>
  <c r="Y11" i="1" s="1"/>
  <c r="X10" i="1"/>
  <c r="Y10" i="1" s="1"/>
  <c r="H39" i="1"/>
  <c r="V33" i="1"/>
  <c r="W33" i="1" s="1"/>
  <c r="M39" i="1"/>
  <c r="I40" i="1"/>
  <c r="L9" i="1"/>
  <c r="Q31" i="1"/>
  <c r="L40" i="1"/>
  <c r="V30" i="1"/>
  <c r="W30" i="1" s="1"/>
  <c r="M31" i="1"/>
  <c r="K39" i="1"/>
  <c r="J39" i="1"/>
  <c r="O20" i="2"/>
  <c r="U32" i="1" s="1"/>
  <c r="W25" i="1"/>
  <c r="V29" i="1"/>
  <c r="W29" i="1" s="1"/>
  <c r="V31" i="1"/>
  <c r="W31" i="1" s="1"/>
  <c r="V28" i="1"/>
  <c r="V24" i="1"/>
  <c r="W24" i="1" s="1"/>
  <c r="L22" i="1"/>
  <c r="F22" i="1"/>
  <c r="O18" i="2"/>
  <c r="O17" i="2"/>
  <c r="U22" i="1" s="1"/>
  <c r="V10" i="1"/>
  <c r="W10" i="1" s="1"/>
  <c r="W27" i="1"/>
  <c r="E40" i="1"/>
  <c r="J48" i="23"/>
  <c r="V14" i="1"/>
  <c r="W14" i="1" s="1"/>
  <c r="W12" i="1"/>
  <c r="J47" i="23"/>
  <c r="E25" i="1"/>
  <c r="Y25" i="1" s="1"/>
  <c r="V11" i="1"/>
  <c r="W11" i="1" s="1"/>
  <c r="W13" i="1"/>
  <c r="J41" i="23"/>
  <c r="J58" i="7"/>
  <c r="W17" i="1"/>
  <c r="J42" i="23"/>
  <c r="W18" i="1"/>
  <c r="R29" i="1"/>
  <c r="R22" i="1" s="1"/>
  <c r="D78" i="1"/>
  <c r="CW8" i="23"/>
  <c r="CQ9" i="23" s="1"/>
  <c r="CW9" i="23" s="1"/>
  <c r="W9" i="23"/>
  <c r="S10" i="23" s="1"/>
  <c r="D80" i="1"/>
  <c r="D82" i="1"/>
  <c r="D79" i="1"/>
  <c r="J43" i="23"/>
  <c r="D83" i="1"/>
  <c r="M25" i="41"/>
  <c r="D81" i="1"/>
  <c r="T11" i="40"/>
  <c r="U11" i="40" s="1"/>
  <c r="AL80" i="1"/>
  <c r="E79" i="1" s="1"/>
  <c r="T9" i="40"/>
  <c r="U9" i="40" s="1"/>
  <c r="F39" i="1"/>
  <c r="G15" i="40"/>
  <c r="AL79" i="1"/>
  <c r="E78" i="1" s="1"/>
  <c r="A12" i="6"/>
  <c r="A9" i="36"/>
  <c r="T8" i="40"/>
  <c r="U8" i="40" s="1"/>
  <c r="AL84" i="1"/>
  <c r="E83" i="1" s="1"/>
  <c r="AL81" i="1"/>
  <c r="E80" i="1" s="1"/>
  <c r="AL82" i="1"/>
  <c r="E81" i="1" s="1"/>
  <c r="K37" i="7"/>
  <c r="C36" i="5" s="1"/>
  <c r="D36" i="5" s="1"/>
  <c r="H15" i="1"/>
  <c r="J37" i="7"/>
  <c r="N37" i="7"/>
  <c r="O59" i="7"/>
  <c r="M37" i="7"/>
  <c r="H37" i="7"/>
  <c r="G37" i="7"/>
  <c r="I37" i="7"/>
  <c r="Q37" i="7"/>
  <c r="F37" i="7"/>
  <c r="C37" i="7"/>
  <c r="J44" i="7" s="1"/>
  <c r="P37" i="7"/>
  <c r="L37" i="7"/>
  <c r="AL83" i="1"/>
  <c r="E82" i="1" s="1"/>
  <c r="D46" i="1"/>
  <c r="D45" i="1"/>
  <c r="W16" i="1"/>
  <c r="J46" i="23"/>
  <c r="J49" i="23"/>
  <c r="E27" i="1"/>
  <c r="Y27" i="1" s="1"/>
  <c r="E39" i="1"/>
  <c r="U33" i="1"/>
  <c r="J43" i="7" l="1"/>
  <c r="J51" i="7" s="1"/>
  <c r="X29" i="1"/>
  <c r="Y29" i="1" s="1"/>
  <c r="H9" i="1"/>
  <c r="H31" i="1" s="1"/>
  <c r="F19" i="1"/>
  <c r="X19" i="1" s="1"/>
  <c r="Y19" i="1" s="1"/>
  <c r="R15" i="1"/>
  <c r="J42" i="7"/>
  <c r="J53" i="7" s="1"/>
  <c r="D11" i="7"/>
  <c r="E11" i="7" s="1"/>
  <c r="Q9" i="23"/>
  <c r="B10" i="23" s="1"/>
  <c r="Q10" i="23" s="1"/>
  <c r="B11" i="23" s="1"/>
  <c r="Q11" i="23" s="1"/>
  <c r="L31" i="1"/>
  <c r="R21" i="1"/>
  <c r="X21" i="1" s="1"/>
  <c r="Y21" i="1" s="1"/>
  <c r="G31" i="1"/>
  <c r="V23" i="1"/>
  <c r="W28" i="1"/>
  <c r="W26" i="1"/>
  <c r="E22" i="1"/>
  <c r="J45" i="23"/>
  <c r="J40" i="23"/>
  <c r="W10" i="23"/>
  <c r="S11" i="23" s="1"/>
  <c r="CQ10" i="23"/>
  <c r="M26" i="41"/>
  <c r="F15" i="40"/>
  <c r="A13" i="6"/>
  <c r="A10" i="36"/>
  <c r="D12" i="7" l="1"/>
  <c r="B12" i="23"/>
  <c r="Q12" i="23" s="1"/>
  <c r="R9" i="1"/>
  <c r="R31" i="1" s="1"/>
  <c r="V20" i="1"/>
  <c r="W20" i="1" s="1"/>
  <c r="J47" i="7"/>
  <c r="M47" i="7"/>
  <c r="N41" i="7"/>
  <c r="N42" i="7" s="1"/>
  <c r="W23" i="1"/>
  <c r="CW10" i="23"/>
  <c r="CQ11" i="23" s="1"/>
  <c r="CW11" i="23" s="1"/>
  <c r="CQ12" i="23" s="1"/>
  <c r="CW12" i="23" s="1"/>
  <c r="W11" i="23"/>
  <c r="S12" i="23" s="1"/>
  <c r="M27" i="41"/>
  <c r="A11" i="36"/>
  <c r="A14" i="6"/>
  <c r="T10" i="40"/>
  <c r="U10" i="40" s="1"/>
  <c r="M15" i="40"/>
  <c r="J52" i="7"/>
  <c r="J54" i="7" s="1"/>
  <c r="E12" i="7" l="1"/>
  <c r="D13" i="7" s="1"/>
  <c r="E13" i="7" s="1"/>
  <c r="D14" i="7" s="1"/>
  <c r="E14" i="7" s="1"/>
  <c r="J56" i="7"/>
  <c r="L39" i="1"/>
  <c r="B13" i="23"/>
  <c r="Q13" i="23" s="1"/>
  <c r="N43" i="7"/>
  <c r="C1" i="5" s="1"/>
  <c r="W12" i="23"/>
  <c r="S13" i="23" s="1"/>
  <c r="CQ13" i="23"/>
  <c r="CW13" i="23" s="1"/>
  <c r="M28" i="41"/>
  <c r="A15" i="6"/>
  <c r="A12" i="36"/>
  <c r="B14" i="23" l="1"/>
  <c r="Q14" i="23" s="1"/>
  <c r="C26" i="5"/>
  <c r="D26" i="5" s="1"/>
  <c r="F29" i="34" s="1"/>
  <c r="C23" i="5"/>
  <c r="D23" i="5" s="1"/>
  <c r="F26" i="34" s="1"/>
  <c r="C7" i="5"/>
  <c r="D7" i="5" s="1"/>
  <c r="F10" i="34" s="1"/>
  <c r="C30" i="5"/>
  <c r="D30" i="5" s="1"/>
  <c r="F33" i="34" s="1"/>
  <c r="C27" i="5"/>
  <c r="D27" i="5" s="1"/>
  <c r="F30" i="34" s="1"/>
  <c r="C10" i="5"/>
  <c r="D10" i="5" s="1"/>
  <c r="F13" i="34" s="1"/>
  <c r="C19" i="5"/>
  <c r="D19" i="5" s="1"/>
  <c r="F22" i="34" s="1"/>
  <c r="C18" i="5"/>
  <c r="D18" i="5" s="1"/>
  <c r="F21" i="34" s="1"/>
  <c r="C22" i="5"/>
  <c r="D22" i="5" s="1"/>
  <c r="F25" i="34" s="1"/>
  <c r="C16" i="5"/>
  <c r="D16" i="5" s="1"/>
  <c r="F19" i="34" s="1"/>
  <c r="C11" i="5"/>
  <c r="D11" i="5" s="1"/>
  <c r="F14" i="34" s="1"/>
  <c r="C21" i="5"/>
  <c r="D21" i="5" s="1"/>
  <c r="F24" i="34" s="1"/>
  <c r="C31" i="5"/>
  <c r="D31" i="5" s="1"/>
  <c r="F34" i="34" s="1"/>
  <c r="C14" i="5"/>
  <c r="D14" i="5" s="1"/>
  <c r="F17" i="34" s="1"/>
  <c r="C3" i="5"/>
  <c r="D3" i="5" s="1"/>
  <c r="F6" i="34" s="1"/>
  <c r="C13" i="5"/>
  <c r="D13" i="5" s="1"/>
  <c r="F16" i="34" s="1"/>
  <c r="C33" i="5"/>
  <c r="D33" i="5" s="1"/>
  <c r="F36" i="34" s="1"/>
  <c r="C8" i="5"/>
  <c r="D8" i="5" s="1"/>
  <c r="F11" i="34" s="1"/>
  <c r="C5" i="5"/>
  <c r="D5" i="5" s="1"/>
  <c r="F8" i="34" s="1"/>
  <c r="C20" i="5"/>
  <c r="D20" i="5" s="1"/>
  <c r="F23" i="34" s="1"/>
  <c r="C4" i="5"/>
  <c r="D4" i="5" s="1"/>
  <c r="F7" i="34" s="1"/>
  <c r="C29" i="5"/>
  <c r="D29" i="5" s="1"/>
  <c r="F32" i="34" s="1"/>
  <c r="C12" i="5"/>
  <c r="D12" i="5" s="1"/>
  <c r="F15" i="34" s="1"/>
  <c r="C28" i="5"/>
  <c r="D28" i="5" s="1"/>
  <c r="F31" i="34" s="1"/>
  <c r="C6" i="5"/>
  <c r="D6" i="5" s="1"/>
  <c r="F9" i="34" s="1"/>
  <c r="C15" i="5"/>
  <c r="D15" i="5" s="1"/>
  <c r="F18" i="34" s="1"/>
  <c r="C25" i="5"/>
  <c r="D25" i="5" s="1"/>
  <c r="F28" i="34" s="1"/>
  <c r="C17" i="5"/>
  <c r="D17" i="5" s="1"/>
  <c r="F20" i="34" s="1"/>
  <c r="C9" i="5"/>
  <c r="D9" i="5" s="1"/>
  <c r="F12" i="34" s="1"/>
  <c r="C32" i="5"/>
  <c r="D32" i="5" s="1"/>
  <c r="F35" i="34" s="1"/>
  <c r="C24" i="5"/>
  <c r="D24" i="5" s="1"/>
  <c r="F27" i="34" s="1"/>
  <c r="D15" i="7"/>
  <c r="E15" i="7" s="1"/>
  <c r="W13" i="23"/>
  <c r="S14" i="23" s="1"/>
  <c r="CQ14" i="23"/>
  <c r="CW14" i="23" s="1"/>
  <c r="M29" i="41"/>
  <c r="A13" i="36"/>
  <c r="A16" i="6"/>
  <c r="B15" i="23" l="1"/>
  <c r="Q15" i="23" s="1"/>
  <c r="F37" i="34"/>
  <c r="C34" i="5"/>
  <c r="D34" i="5" s="1"/>
  <c r="D16" i="7"/>
  <c r="E16" i="7" s="1"/>
  <c r="W14" i="23"/>
  <c r="S15" i="23" s="1"/>
  <c r="CQ15" i="23"/>
  <c r="CW15" i="23" s="1"/>
  <c r="M30" i="41"/>
  <c r="A17" i="6"/>
  <c r="A14" i="36"/>
  <c r="B16" i="23" l="1"/>
  <c r="Q16" i="23" s="1"/>
  <c r="D17" i="7"/>
  <c r="E17" i="7" s="1"/>
  <c r="W15" i="23"/>
  <c r="S16" i="23" s="1"/>
  <c r="CQ16" i="23"/>
  <c r="CW16" i="23" s="1"/>
  <c r="M31" i="41"/>
  <c r="A15" i="36"/>
  <c r="A18" i="6"/>
  <c r="B17" i="23" l="1"/>
  <c r="Q17" i="23" s="1"/>
  <c r="D18" i="7"/>
  <c r="E18" i="7" s="1"/>
  <c r="W16" i="23"/>
  <c r="S17" i="23" s="1"/>
  <c r="CQ17" i="23"/>
  <c r="CW17" i="23" s="1"/>
  <c r="M32" i="41"/>
  <c r="A19" i="6"/>
  <c r="A16" i="36"/>
  <c r="B18" i="23" l="1"/>
  <c r="Q18" i="23" s="1"/>
  <c r="D19" i="7"/>
  <c r="E19" i="7" s="1"/>
  <c r="W17" i="23"/>
  <c r="S18" i="23" s="1"/>
  <c r="CQ18" i="23"/>
  <c r="CW18" i="23" s="1"/>
  <c r="M33" i="41"/>
  <c r="A20" i="6"/>
  <c r="A17" i="36"/>
  <c r="B19" i="23" l="1"/>
  <c r="Q19" i="23" s="1"/>
  <c r="D20" i="7"/>
  <c r="E20" i="7" s="1"/>
  <c r="W18" i="23"/>
  <c r="S19" i="23" s="1"/>
  <c r="CQ19" i="23"/>
  <c r="CW19" i="23" s="1"/>
  <c r="M34" i="41"/>
  <c r="A21" i="6"/>
  <c r="A18" i="36"/>
  <c r="B20" i="23" l="1"/>
  <c r="Q20" i="23" s="1"/>
  <c r="D21" i="7"/>
  <c r="E21" i="7" s="1"/>
  <c r="W19" i="23"/>
  <c r="S20" i="23" s="1"/>
  <c r="CQ20" i="23"/>
  <c r="CW20" i="23" s="1"/>
  <c r="M35" i="41"/>
  <c r="A19" i="36"/>
  <c r="A22" i="6"/>
  <c r="B21" i="23" l="1"/>
  <c r="Q21" i="23" s="1"/>
  <c r="D22" i="7"/>
  <c r="E22" i="7" s="1"/>
  <c r="W20" i="23"/>
  <c r="S21" i="23" s="1"/>
  <c r="CQ21" i="23"/>
  <c r="CW21" i="23" s="1"/>
  <c r="M36" i="41"/>
  <c r="A23" i="6"/>
  <c r="A20" i="36"/>
  <c r="B22" i="23" l="1"/>
  <c r="Q22" i="23" s="1"/>
  <c r="D23" i="7"/>
  <c r="E23" i="7" s="1"/>
  <c r="CQ22" i="23"/>
  <c r="CW22" i="23" s="1"/>
  <c r="W21" i="23"/>
  <c r="S22" i="23" s="1"/>
  <c r="A21" i="36"/>
  <c r="A24" i="6"/>
  <c r="B23" i="23" l="1"/>
  <c r="Q23" i="23" s="1"/>
  <c r="D24" i="7"/>
  <c r="E24" i="7" s="1"/>
  <c r="W22" i="23"/>
  <c r="S23" i="23" s="1"/>
  <c r="CQ23" i="23"/>
  <c r="CW23" i="23" s="1"/>
  <c r="A25" i="6"/>
  <c r="A22" i="36"/>
  <c r="B24" i="23" l="1"/>
  <c r="Q24" i="23" s="1"/>
  <c r="D25" i="7"/>
  <c r="E25" i="7" s="1"/>
  <c r="W23" i="23"/>
  <c r="S24" i="23" s="1"/>
  <c r="CQ24" i="23"/>
  <c r="CW24" i="23" s="1"/>
  <c r="A23" i="36"/>
  <c r="A26" i="6"/>
  <c r="B25" i="23" l="1"/>
  <c r="Q25" i="23" s="1"/>
  <c r="D26" i="7"/>
  <c r="E26" i="7" s="1"/>
  <c r="CQ25" i="23"/>
  <c r="CW25" i="23" s="1"/>
  <c r="W24" i="23"/>
  <c r="S25" i="23" s="1"/>
  <c r="A27" i="6"/>
  <c r="A24" i="36"/>
  <c r="B26" i="23" l="1"/>
  <c r="Q26" i="23" s="1"/>
  <c r="D27" i="7"/>
  <c r="E27" i="7" s="1"/>
  <c r="CQ26" i="23"/>
  <c r="CW26" i="23" s="1"/>
  <c r="W25" i="23"/>
  <c r="S26" i="23" s="1"/>
  <c r="A28" i="6"/>
  <c r="A25" i="36"/>
  <c r="B27" i="23" l="1"/>
  <c r="Q27" i="23" s="1"/>
  <c r="D28" i="7"/>
  <c r="E28" i="7" s="1"/>
  <c r="CQ27" i="23"/>
  <c r="CW27" i="23" s="1"/>
  <c r="W26" i="23"/>
  <c r="S27" i="23" s="1"/>
  <c r="A29" i="6"/>
  <c r="A26" i="36"/>
  <c r="B28" i="23" l="1"/>
  <c r="Q28" i="23" s="1"/>
  <c r="D29" i="7"/>
  <c r="E29" i="7" s="1"/>
  <c r="W27" i="23"/>
  <c r="S28" i="23" s="1"/>
  <c r="CQ28" i="23"/>
  <c r="CW28" i="23" s="1"/>
  <c r="A27" i="36"/>
  <c r="A30" i="6"/>
  <c r="B29" i="23" l="1"/>
  <c r="Q29" i="23" s="1"/>
  <c r="D30" i="7"/>
  <c r="E30" i="7" s="1"/>
  <c r="N16" i="2"/>
  <c r="CQ29" i="23"/>
  <c r="CW29" i="23" s="1"/>
  <c r="W28" i="23"/>
  <c r="S29" i="23" s="1"/>
  <c r="A31" i="6"/>
  <c r="A28" i="36"/>
  <c r="B30" i="23" l="1"/>
  <c r="Q30" i="23" s="1"/>
  <c r="D31" i="7"/>
  <c r="E31" i="7" s="1"/>
  <c r="W29" i="23"/>
  <c r="S30" i="23" s="1"/>
  <c r="CQ30" i="23"/>
  <c r="CW30" i="23" s="1"/>
  <c r="A29" i="36"/>
  <c r="A32" i="6"/>
  <c r="A33" i="6" s="1"/>
  <c r="A34" i="6" s="1"/>
  <c r="A35" i="6" s="1"/>
  <c r="B31" i="23" l="1"/>
  <c r="Q31" i="23" s="1"/>
  <c r="D32" i="7"/>
  <c r="E32" i="7" s="1"/>
  <c r="K113" i="2"/>
  <c r="K111" i="2"/>
  <c r="K152" i="2"/>
  <c r="K147" i="2"/>
  <c r="K123" i="2"/>
  <c r="K121" i="2"/>
  <c r="K117" i="2"/>
  <c r="K129" i="2"/>
  <c r="K148" i="2"/>
  <c r="K150" i="2"/>
  <c r="K120" i="2"/>
  <c r="K109" i="2"/>
  <c r="K114" i="2"/>
  <c r="K112" i="2"/>
  <c r="K151" i="2"/>
  <c r="K110" i="2"/>
  <c r="K118" i="2"/>
  <c r="K122" i="2"/>
  <c r="K119" i="2"/>
  <c r="K115" i="2"/>
  <c r="K108" i="2"/>
  <c r="K149" i="2"/>
  <c r="K153" i="2"/>
  <c r="K130" i="2"/>
  <c r="K131" i="2"/>
  <c r="K116" i="2"/>
  <c r="W30" i="23"/>
  <c r="S31" i="23" s="1"/>
  <c r="CQ31" i="23"/>
  <c r="CW31" i="23" s="1"/>
  <c r="A30" i="36"/>
  <c r="B32" i="23" l="1"/>
  <c r="Q32" i="23" s="1"/>
  <c r="D33" i="7"/>
  <c r="E33" i="7" s="1"/>
  <c r="W31" i="23"/>
  <c r="S32" i="23" s="1"/>
  <c r="CQ32" i="23"/>
  <c r="CW32" i="23" s="1"/>
  <c r="A31" i="36"/>
  <c r="D34" i="7" l="1"/>
  <c r="E34" i="7" s="1"/>
  <c r="B33" i="23"/>
  <c r="Q33" i="23" s="1"/>
  <c r="W32" i="23"/>
  <c r="S33" i="23" s="1"/>
  <c r="CQ33" i="23"/>
  <c r="CW33" i="23" s="1"/>
  <c r="H36" i="6"/>
  <c r="A32" i="36"/>
  <c r="D35" i="7" l="1"/>
  <c r="E35" i="7" s="1"/>
  <c r="B34" i="23"/>
  <c r="Q34" i="23" s="1"/>
  <c r="CQ34" i="23"/>
  <c r="CW34" i="23" s="1"/>
  <c r="W33" i="23"/>
  <c r="S34" i="23" s="1"/>
  <c r="D36" i="6"/>
  <c r="D39" i="6" s="1"/>
  <c r="G39" i="6"/>
  <c r="F53" i="1" s="1"/>
  <c r="A33" i="36"/>
  <c r="AP34" i="36" s="1"/>
  <c r="I36" i="6"/>
  <c r="G41" i="6" l="1"/>
  <c r="D36" i="7"/>
  <c r="E36" i="7" s="1"/>
  <c r="B35" i="23"/>
  <c r="Q35" i="23" s="1"/>
  <c r="B36" i="23" s="1"/>
  <c r="Q36" i="23" s="1"/>
  <c r="D41" i="6"/>
  <c r="W34" i="23"/>
  <c r="S35" i="23" s="1"/>
  <c r="CQ35" i="23"/>
  <c r="CW35" i="23" s="1"/>
  <c r="G40" i="6"/>
  <c r="F54" i="1"/>
  <c r="D40" i="6"/>
  <c r="E67" i="1"/>
  <c r="AN37" i="36"/>
  <c r="G42" i="6" l="1"/>
  <c r="E53" i="1" s="1"/>
  <c r="G53" i="1" s="1"/>
  <c r="R53" i="1" s="1"/>
  <c r="E37" i="7"/>
  <c r="D42" i="6"/>
  <c r="E54" i="1" s="1"/>
  <c r="G54" i="1" s="1"/>
  <c r="J46" i="7"/>
  <c r="J59" i="7" s="1"/>
  <c r="J60" i="7" s="1"/>
  <c r="W35" i="23"/>
  <c r="S36" i="23" s="1"/>
  <c r="CQ36" i="23"/>
  <c r="CW36" i="23" s="1"/>
  <c r="O16" i="2" l="1"/>
  <c r="J7" i="48"/>
  <c r="V9" i="1"/>
  <c r="S53" i="1"/>
  <c r="N33" i="2"/>
  <c r="N34" i="2" s="1"/>
  <c r="I54" i="1"/>
  <c r="R54" i="1"/>
  <c r="S54" i="1" s="1"/>
  <c r="CR37" i="23"/>
  <c r="F20" i="1" s="1"/>
  <c r="X20" i="1" s="1"/>
  <c r="I53" i="1"/>
  <c r="O67" i="1"/>
  <c r="F9" i="1" l="1"/>
  <c r="X9" i="1" s="1"/>
  <c r="I39" i="1"/>
  <c r="K101" i="2"/>
  <c r="J6" i="48"/>
  <c r="J5" i="48"/>
  <c r="O33" i="2"/>
  <c r="H54" i="1" s="1"/>
  <c r="CW37" i="23"/>
  <c r="Y20" i="1" s="1"/>
  <c r="O34" i="2"/>
  <c r="V21" i="1" l="1"/>
  <c r="W21" i="1" s="1"/>
  <c r="J16" i="48"/>
  <c r="L16" i="48" s="1"/>
  <c r="J19" i="48"/>
  <c r="L19" i="48" s="1"/>
  <c r="E9" i="1"/>
  <c r="E31" i="1" s="1"/>
  <c r="I41" i="1"/>
  <c r="J54" i="1"/>
  <c r="F31" i="1" l="1"/>
  <c r="V32" i="1" s="1"/>
  <c r="Y9" i="1"/>
  <c r="W9" i="1"/>
  <c r="O35" i="2"/>
  <c r="Q54" i="1" s="1"/>
  <c r="W32" i="1" l="1"/>
  <c r="O42" i="2"/>
  <c r="Q78" i="1" s="1"/>
  <c r="I51" i="2" l="1"/>
  <c r="O53" i="2"/>
  <c r="Q80" i="1" s="1"/>
  <c r="O51" i="2" l="1"/>
  <c r="L80" i="1" s="1"/>
  <c r="K80" i="1"/>
  <c r="O70" i="2"/>
  <c r="Q82" i="1" s="1"/>
  <c r="T14" i="40" l="1"/>
  <c r="U14" i="40" s="1"/>
  <c r="O66" i="2"/>
  <c r="L82" i="1" s="1"/>
  <c r="K82" i="1"/>
  <c r="O62" i="2"/>
  <c r="Q81" i="1" s="1"/>
  <c r="D60" i="2"/>
  <c r="K81" i="1" s="1"/>
  <c r="P81" i="1"/>
  <c r="O15" i="40" s="1"/>
  <c r="T12" i="40" l="1"/>
  <c r="U12" i="40" s="1"/>
  <c r="O60" i="2"/>
  <c r="L81" i="1" s="1"/>
  <c r="N15" i="40" l="1"/>
  <c r="S15" i="40" l="1"/>
  <c r="T13" i="40"/>
  <c r="U13" i="40" s="1"/>
  <c r="E91" i="1"/>
  <c r="J9" i="48" s="1"/>
  <c r="J12" i="48" s="1"/>
  <c r="N30" i="2" l="1"/>
  <c r="N31" i="2" s="1"/>
  <c r="N36" i="2" s="1"/>
  <c r="K102" i="2"/>
  <c r="K100" i="2"/>
  <c r="J17" i="48"/>
  <c r="L17" i="48" s="1"/>
  <c r="J20" i="48"/>
  <c r="L20" i="48" s="1"/>
  <c r="O30" i="2" l="1"/>
  <c r="H53" i="1" s="1"/>
  <c r="O31" i="2" l="1"/>
  <c r="O36" i="2" l="1"/>
  <c r="J53" i="1"/>
  <c r="T22" i="1"/>
  <c r="X22" i="1" s="1"/>
  <c r="Y22" i="1" s="1"/>
  <c r="T31" i="1" l="1"/>
  <c r="T82" i="1"/>
  <c r="T83" i="1"/>
  <c r="G39" i="1"/>
  <c r="M82" i="1"/>
  <c r="T81" i="1"/>
  <c r="M81" i="1"/>
  <c r="M78" i="1"/>
  <c r="D100" i="2"/>
  <c r="M79" i="1"/>
  <c r="T80" i="1"/>
  <c r="T79" i="1"/>
  <c r="M83" i="1"/>
  <c r="T78" i="1"/>
  <c r="M80" i="1"/>
  <c r="M149" i="2" l="1"/>
  <c r="M108" i="2"/>
  <c r="M148" i="2"/>
  <c r="M123" i="2"/>
  <c r="M152" i="2"/>
  <c r="M153" i="2"/>
  <c r="M121" i="2"/>
  <c r="M100" i="2"/>
  <c r="M119" i="2"/>
  <c r="M116" i="2"/>
  <c r="M109" i="2"/>
  <c r="M112" i="2"/>
  <c r="M115" i="2"/>
  <c r="M102" i="2"/>
  <c r="M151" i="2"/>
  <c r="M150" i="2"/>
  <c r="M118" i="2"/>
  <c r="M113" i="2"/>
  <c r="M101" i="2"/>
  <c r="M120" i="2"/>
  <c r="M131" i="2"/>
  <c r="M117" i="2"/>
  <c r="M111" i="2"/>
  <c r="M114" i="2"/>
  <c r="M130" i="2"/>
  <c r="M147" i="2"/>
  <c r="M129" i="2"/>
  <c r="M122" i="2"/>
  <c r="M110" i="2"/>
  <c r="X31" i="1"/>
  <c r="Y31" i="1" s="1"/>
  <c r="J116" i="2"/>
  <c r="J129" i="2"/>
  <c r="J131" i="2"/>
  <c r="J114" i="2"/>
  <c r="J149" i="2"/>
  <c r="J148" i="2"/>
  <c r="J150" i="2"/>
  <c r="J112" i="2"/>
  <c r="J118" i="2"/>
  <c r="J122" i="2"/>
  <c r="J109" i="2"/>
  <c r="J123" i="2"/>
  <c r="J120" i="2"/>
  <c r="J115" i="2"/>
  <c r="J151" i="2"/>
  <c r="J147" i="2"/>
  <c r="J130" i="2"/>
  <c r="J121" i="2"/>
  <c r="J113" i="2"/>
  <c r="J111" i="2"/>
  <c r="J108" i="2"/>
  <c r="J119" i="2"/>
  <c r="J110" i="2"/>
  <c r="J152" i="2"/>
  <c r="J117" i="2"/>
  <c r="J153" i="2"/>
  <c r="J101" i="2"/>
  <c r="J102" i="2"/>
  <c r="J100" i="2"/>
  <c r="I117" i="2"/>
  <c r="I108" i="2"/>
  <c r="I131" i="2"/>
  <c r="I116" i="2"/>
  <c r="I153" i="2"/>
  <c r="I123" i="2"/>
  <c r="I120" i="2"/>
  <c r="I129" i="2"/>
  <c r="I119" i="2"/>
  <c r="I118" i="2"/>
  <c r="I122" i="2"/>
  <c r="I121" i="2"/>
  <c r="I130" i="2"/>
  <c r="I115" i="2"/>
  <c r="I152" i="2"/>
  <c r="I112" i="2"/>
  <c r="I111" i="2"/>
  <c r="I114" i="2"/>
  <c r="I109" i="2"/>
  <c r="I149" i="2"/>
  <c r="I150" i="2"/>
  <c r="I148" i="2"/>
  <c r="I147" i="2"/>
  <c r="I151" i="2"/>
  <c r="I101" i="2"/>
  <c r="I110" i="2"/>
  <c r="I113" i="2"/>
  <c r="I102" i="2"/>
  <c r="I100" i="2"/>
  <c r="H117" i="2"/>
  <c r="H129" i="2"/>
  <c r="H121" i="2"/>
  <c r="H119" i="2"/>
  <c r="H115" i="2"/>
  <c r="H148" i="2"/>
  <c r="H113" i="2"/>
  <c r="H153" i="2"/>
  <c r="H131" i="2"/>
  <c r="H130" i="2"/>
  <c r="H149" i="2"/>
  <c r="H152" i="2"/>
  <c r="H111" i="2"/>
  <c r="H122" i="2"/>
  <c r="H123" i="2"/>
  <c r="H116" i="2"/>
  <c r="H112" i="2"/>
  <c r="H110" i="2"/>
  <c r="H120" i="2"/>
  <c r="H118" i="2"/>
  <c r="H147" i="2"/>
  <c r="H114" i="2"/>
  <c r="H150" i="2"/>
  <c r="H108" i="2"/>
  <c r="H151" i="2"/>
  <c r="H109" i="2"/>
  <c r="H101" i="2"/>
  <c r="H102" i="2"/>
  <c r="H100" i="2"/>
  <c r="G109" i="2"/>
  <c r="G115" i="2"/>
  <c r="G111" i="2"/>
  <c r="G112" i="2"/>
  <c r="G130" i="2"/>
  <c r="G113" i="2"/>
  <c r="G118" i="2"/>
  <c r="G119" i="2"/>
  <c r="G116" i="2"/>
  <c r="G150" i="2"/>
  <c r="G147" i="2"/>
  <c r="G100" i="2"/>
  <c r="F151" i="2"/>
  <c r="F119" i="2"/>
  <c r="F147" i="2"/>
  <c r="F130" i="2"/>
  <c r="F148" i="2"/>
  <c r="F149" i="2"/>
  <c r="F131" i="2"/>
  <c r="F117" i="2"/>
  <c r="F150" i="2"/>
  <c r="F111" i="2"/>
  <c r="F114" i="2"/>
  <c r="F108" i="2"/>
  <c r="F120" i="2"/>
  <c r="F115" i="2"/>
  <c r="F113" i="2"/>
  <c r="F109" i="2"/>
  <c r="F152" i="2"/>
  <c r="F153" i="2"/>
  <c r="F112" i="2"/>
  <c r="F118" i="2"/>
  <c r="F110" i="2"/>
  <c r="F122" i="2"/>
  <c r="F116" i="2"/>
  <c r="F121" i="2"/>
  <c r="F123" i="2"/>
  <c r="F129" i="2"/>
  <c r="F100" i="2"/>
  <c r="F101" i="2"/>
  <c r="F102" i="2"/>
  <c r="E129" i="2"/>
  <c r="E121" i="2"/>
  <c r="E147" i="2"/>
  <c r="E120" i="2"/>
  <c r="E149" i="2"/>
  <c r="E111" i="2"/>
  <c r="E110" i="2"/>
  <c r="E118" i="2"/>
  <c r="E131" i="2"/>
  <c r="E130" i="2"/>
  <c r="E153" i="2"/>
  <c r="E116" i="2"/>
  <c r="E151" i="2"/>
  <c r="E148" i="2"/>
  <c r="E113" i="2"/>
  <c r="E152" i="2"/>
  <c r="E150" i="2"/>
  <c r="E114" i="2"/>
  <c r="E117" i="2"/>
  <c r="E123" i="2"/>
  <c r="E122" i="2"/>
  <c r="E108" i="2"/>
  <c r="E109" i="2"/>
  <c r="E112" i="2"/>
  <c r="E119" i="2"/>
  <c r="E115" i="2"/>
  <c r="E100" i="2"/>
  <c r="E101" i="2"/>
  <c r="E102" i="2"/>
  <c r="D115" i="2"/>
  <c r="D153" i="2"/>
  <c r="D121" i="2"/>
  <c r="D116" i="2"/>
  <c r="D151" i="2"/>
  <c r="D111" i="2"/>
  <c r="D117" i="2"/>
  <c r="D129" i="2"/>
  <c r="D118" i="2"/>
  <c r="D148" i="2"/>
  <c r="D110" i="2"/>
  <c r="D119" i="2"/>
  <c r="D149" i="2"/>
  <c r="D147" i="2"/>
  <c r="D131" i="2"/>
  <c r="D130" i="2"/>
  <c r="D123" i="2"/>
  <c r="D109" i="2"/>
  <c r="D122" i="2"/>
  <c r="D152" i="2"/>
  <c r="D114" i="2"/>
  <c r="D120" i="2"/>
  <c r="D150" i="2"/>
  <c r="D113" i="2"/>
  <c r="D108" i="2"/>
  <c r="D101" i="2"/>
  <c r="D102" i="2"/>
  <c r="D112" i="2"/>
  <c r="C151" i="2"/>
  <c r="C122" i="2"/>
  <c r="C147" i="2"/>
  <c r="C109" i="2"/>
  <c r="C119" i="2"/>
  <c r="C152" i="2"/>
  <c r="C112" i="2"/>
  <c r="C153" i="2"/>
  <c r="C120" i="2"/>
  <c r="C131" i="2"/>
  <c r="C123" i="2"/>
  <c r="C111" i="2"/>
  <c r="C130" i="2"/>
  <c r="C129" i="2"/>
  <c r="C116" i="2"/>
  <c r="C114" i="2"/>
  <c r="C113" i="2"/>
  <c r="C121" i="2"/>
  <c r="C101" i="2"/>
  <c r="C149" i="2"/>
  <c r="C108" i="2"/>
  <c r="C115" i="2"/>
  <c r="C110" i="2"/>
  <c r="C117" i="2"/>
  <c r="C150" i="2"/>
  <c r="C118" i="2"/>
  <c r="C148" i="2"/>
  <c r="C100" i="2"/>
  <c r="C102" i="2"/>
  <c r="M53" i="1"/>
  <c r="N15" i="2"/>
  <c r="M54" i="1"/>
  <c r="L119" i="2" l="1"/>
  <c r="L149" i="2"/>
  <c r="L131" i="2"/>
  <c r="L152" i="2"/>
  <c r="L150" i="2"/>
  <c r="L153" i="2"/>
  <c r="L115" i="2"/>
  <c r="L123" i="2"/>
  <c r="L113" i="2"/>
  <c r="L120" i="2"/>
  <c r="L147" i="2"/>
  <c r="L151" i="2"/>
  <c r="L117" i="2"/>
  <c r="L121" i="2"/>
  <c r="L118" i="2"/>
  <c r="L109" i="2"/>
  <c r="L112" i="2"/>
  <c r="L148" i="2"/>
  <c r="L110" i="2"/>
  <c r="L129" i="2"/>
  <c r="L111" i="2"/>
  <c r="L114" i="2"/>
  <c r="L116" i="2"/>
  <c r="L122" i="2"/>
  <c r="L130" i="2"/>
  <c r="L108" i="2"/>
  <c r="L101" i="2"/>
  <c r="L102" i="2"/>
  <c r="L100" i="2"/>
  <c r="O15" i="2"/>
  <c r="G102" i="2"/>
  <c r="G153" i="2"/>
  <c r="G117" i="2"/>
  <c r="G120" i="2"/>
  <c r="G152" i="2"/>
  <c r="G110" i="2"/>
  <c r="G101" i="2"/>
  <c r="G123" i="2"/>
  <c r="G122" i="2"/>
  <c r="G129" i="2"/>
  <c r="G148" i="2"/>
  <c r="G149" i="2"/>
  <c r="G131" i="2"/>
  <c r="G121" i="2"/>
  <c r="G114" i="2"/>
  <c r="G108" i="2"/>
  <c r="G151" i="2"/>
  <c r="N115" i="2"/>
  <c r="N152" i="2"/>
  <c r="N121" i="2"/>
  <c r="N118" i="2"/>
  <c r="N120" i="2"/>
  <c r="N101" i="2"/>
  <c r="N149" i="2"/>
  <c r="N116" i="2"/>
  <c r="O25" i="2"/>
  <c r="N117" i="2"/>
  <c r="N153" i="2"/>
  <c r="O24" i="2"/>
  <c r="N109" i="2"/>
  <c r="N148" i="2"/>
  <c r="N108" i="2"/>
  <c r="N123" i="2"/>
  <c r="N147" i="2"/>
  <c r="N131" i="2"/>
  <c r="N100" i="2"/>
  <c r="N150" i="2"/>
  <c r="N102" i="2"/>
  <c r="N129" i="2"/>
  <c r="N110" i="2"/>
  <c r="N122" i="2"/>
  <c r="N113" i="2"/>
  <c r="N151" i="2"/>
  <c r="N130" i="2"/>
  <c r="N119" i="2"/>
  <c r="N111" i="2"/>
  <c r="N112" i="2"/>
  <c r="N114" i="2"/>
  <c r="U31" i="1" l="1"/>
  <c r="Y15" i="2"/>
  <c r="N79" i="1"/>
  <c r="N83" i="1"/>
  <c r="N80" i="1"/>
  <c r="N82" i="1"/>
  <c r="N81" i="1"/>
  <c r="O11" i="2"/>
  <c r="O12" i="2"/>
  <c r="O116" i="2"/>
  <c r="O149" i="2"/>
  <c r="O112" i="2"/>
  <c r="O109" i="2"/>
  <c r="O121" i="2"/>
  <c r="O120" i="2"/>
  <c r="O9" i="2"/>
  <c r="O150" i="2"/>
  <c r="O110" i="2"/>
  <c r="O131" i="2"/>
  <c r="O153" i="2"/>
  <c r="O147" i="2"/>
  <c r="O119" i="2"/>
  <c r="O129" i="2"/>
  <c r="O100" i="2"/>
  <c r="N53" i="1" s="1"/>
  <c r="O117" i="2"/>
  <c r="O151" i="2"/>
  <c r="O113" i="2"/>
  <c r="O115" i="2"/>
  <c r="O118" i="2"/>
  <c r="O122" i="2"/>
  <c r="O123" i="2"/>
  <c r="O111" i="2"/>
  <c r="O130" i="2"/>
  <c r="O148" i="2"/>
  <c r="O152" i="2"/>
  <c r="O102" i="2"/>
  <c r="O10" i="2"/>
  <c r="O101" i="2"/>
  <c r="N54" i="1" s="1"/>
  <c r="U79" i="1" l="1"/>
  <c r="U81" i="1"/>
  <c r="U83" i="1"/>
  <c r="U80" i="1"/>
  <c r="U82" i="1"/>
  <c r="O41" i="2"/>
  <c r="S78" i="1" s="1"/>
  <c r="U78" i="1" s="1"/>
  <c r="O40" i="2"/>
  <c r="L78" i="1" l="1"/>
  <c r="N78" i="1" s="1"/>
  <c r="O108" i="2"/>
</calcChain>
</file>

<file path=xl/comments1.xml><?xml version="1.0" encoding="utf-8"?>
<comments xmlns="http://schemas.openxmlformats.org/spreadsheetml/2006/main">
  <authors>
    <author>ppcl510093</author>
    <author>ppcl490025</author>
  </authors>
  <commentList>
    <comment ref="L7" authorId="0">
      <text>
        <r>
          <rPr>
            <b/>
            <sz val="8"/>
            <color indexed="81"/>
            <rFont val="Tahoma"/>
            <family val="2"/>
          </rPr>
          <t>ppcl510093: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packing ทั้งหมดในเดือน (รวมของค้าง silo ซึ่งอาจผลิตในเดือนก่อนหน้า)</t>
        </r>
      </text>
    </comment>
    <comment ref="F39" authorId="0">
      <text>
        <r>
          <rPr>
            <sz val="11"/>
            <color indexed="81"/>
            <rFont val="Tahoma"/>
            <family val="2"/>
          </rPr>
          <t xml:space="preserve">product ที่คำนวณจาก weight silo ลบ off spec
</t>
        </r>
      </text>
    </comment>
    <comment ref="G39" authorId="0">
      <text>
        <r>
          <rPr>
            <b/>
            <sz val="11"/>
            <color indexed="81"/>
            <rFont val="Tahoma"/>
            <family val="2"/>
          </rPr>
          <t>Packed already
FIFO Reprocess</t>
        </r>
      </text>
    </comment>
    <comment ref="K52" authorId="0">
      <text>
        <r>
          <rPr>
            <b/>
            <sz val="10"/>
            <color indexed="81"/>
            <rFont val="Tahoma"/>
            <family val="2"/>
          </rPr>
          <t xml:space="preserve">ppcl510093:
</t>
        </r>
        <r>
          <rPr>
            <sz val="12"/>
            <color indexed="81"/>
            <rFont val="Tahoma"/>
            <family val="2"/>
          </rPr>
          <t>Hold Up tank 
Previous Month - Present Month= + 
--&gt; consume WIP --&gt; add in all consumption
Previous Month - Present Month= - 
--&gt; accumulate in WIP --&gt; deduct from all consumption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K53" authorId="1">
      <text>
        <r>
          <rPr>
            <b/>
            <sz val="12"/>
            <color indexed="81"/>
            <rFont val="Tahoma"/>
            <family val="2"/>
          </rPr>
          <t>ppcl490025:</t>
        </r>
        <r>
          <rPr>
            <sz val="12"/>
            <color indexed="81"/>
            <rFont val="Tahoma"/>
            <family val="2"/>
          </rPr>
          <t xml:space="preserve">
Phenol consume from work in process</t>
        </r>
      </text>
    </comment>
    <comment ref="K54" authorId="1">
      <text>
        <r>
          <rPr>
            <b/>
            <sz val="8"/>
            <color indexed="81"/>
            <rFont val="Tahoma"/>
            <family val="2"/>
          </rPr>
          <t>ppcl490025:</t>
        </r>
        <r>
          <rPr>
            <sz val="8"/>
            <color indexed="81"/>
            <rFont val="Tahoma"/>
            <family val="2"/>
          </rPr>
          <t xml:space="preserve">
Acetone consume from work-in process</t>
        </r>
      </text>
    </comment>
    <comment ref="D58" authorId="0">
      <text>
        <r>
          <rPr>
            <b/>
            <sz val="10"/>
            <color indexed="81"/>
            <rFont val="Tahoma"/>
            <family val="2"/>
          </rPr>
          <t>Put value</t>
        </r>
      </text>
    </comment>
    <comment ref="E58" authorId="0">
      <text>
        <r>
          <rPr>
            <b/>
            <sz val="10"/>
            <color indexed="81"/>
            <rFont val="Tahoma"/>
            <family val="2"/>
          </rPr>
          <t>Put value</t>
        </r>
      </text>
    </comment>
    <comment ref="F58" authorId="0">
      <text>
        <r>
          <rPr>
            <b/>
            <sz val="10"/>
            <color indexed="81"/>
            <rFont val="Tahoma"/>
            <family val="2"/>
          </rPr>
          <t>Put value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Thanayot P &lt;PH-SM-PL/3813&gt;</author>
    <author>From PPCL Technical Team</author>
  </authors>
  <commentList>
    <comment ref="C5" authorId="0">
      <text>
        <r>
          <rPr>
            <b/>
            <sz val="9"/>
            <color indexed="81"/>
            <rFont val="Tahoma"/>
            <family val="2"/>
          </rPr>
          <t>Thanayot P &lt;PH-SM-PL/3813&gt;:</t>
        </r>
        <r>
          <rPr>
            <sz val="9"/>
            <color indexed="81"/>
            <rFont val="Tahoma"/>
            <family val="2"/>
          </rPr>
          <t xml:space="preserve">
Chg Name plate Y2018 UP5% Design</t>
        </r>
      </text>
    </comment>
    <comment ref="C15" authorId="0">
      <text>
        <r>
          <rPr>
            <b/>
            <sz val="9"/>
            <color indexed="81"/>
            <rFont val="Tahoma"/>
            <family val="2"/>
          </rPr>
          <t>Thanayot P &lt;PH-SM-PL/3813&gt;:</t>
        </r>
        <r>
          <rPr>
            <sz val="9"/>
            <color indexed="81"/>
            <rFont val="Tahoma"/>
            <family val="2"/>
          </rPr>
          <t xml:space="preserve">
Unplanned TD 10th for MNT Refrig and Oil change 3Mth (as routine)</t>
        </r>
      </text>
    </comment>
    <comment ref="D15" authorId="0">
      <text>
        <r>
          <rPr>
            <b/>
            <sz val="9"/>
            <color indexed="81"/>
            <rFont val="Tahoma"/>
            <family val="2"/>
          </rPr>
          <t>Thanayot P &lt;PH-SM-PL/3813&gt;:</t>
        </r>
        <r>
          <rPr>
            <sz val="9"/>
            <color indexed="81"/>
            <rFont val="Tahoma"/>
            <family val="2"/>
          </rPr>
          <t xml:space="preserve">
- Unpln TD 18th due to GPSC supply S40 off spec Presuure and Temp
- on20th Re-melt Crystallrize due to plugging</t>
        </r>
      </text>
    </comment>
    <comment ref="F15" authorId="1">
      <text>
        <r>
          <rPr>
            <b/>
            <sz val="9"/>
            <color indexed="81"/>
            <rFont val="Tahoma"/>
            <family val="2"/>
          </rPr>
          <t>Unplanned S/D on 3-8 Apr due to cable terminator 22 kV damage</t>
        </r>
      </text>
    </comment>
    <comment ref="L15" authorId="0">
      <text>
        <r>
          <rPr>
            <b/>
            <sz val="9"/>
            <color indexed="81"/>
            <rFont val="Tahoma"/>
            <family val="2"/>
          </rPr>
          <t>Thanayot P &lt;PH-SM-PL/3813&gt;:</t>
        </r>
        <r>
          <rPr>
            <sz val="9"/>
            <color indexed="81"/>
            <rFont val="Tahoma"/>
            <family val="2"/>
          </rPr>
          <t xml:space="preserve">
29-30
P-1403 trip
 due to XI-1403-2 HH (Axial)</t>
        </r>
      </text>
    </comment>
    <comment ref="M15" authorId="1">
      <text>
        <r>
          <rPr>
            <b/>
            <sz val="9"/>
            <color indexed="81"/>
            <rFont val="Tahoma"/>
            <family val="2"/>
          </rPr>
          <t>Unplanned TD to be 80% due to Chunk BPA Block line during 11-12 Nov.</t>
        </r>
      </text>
    </comment>
    <comment ref="N15" authorId="1">
      <text>
        <r>
          <rPr>
            <b/>
            <sz val="9"/>
            <color indexed="81"/>
            <rFont val="Tahoma"/>
            <family val="2"/>
          </rPr>
          <t>Power Outage:
-&gt; 14 Dec (18:31) - 16 Dec (09:00)
-&gt; 23 Dec (22:27) - 25 Dec (16:00)</t>
        </r>
      </text>
    </comment>
    <comment ref="D43" authorId="0">
      <text>
        <r>
          <rPr>
            <b/>
            <sz val="9"/>
            <color indexed="81"/>
            <rFont val="Tahoma"/>
            <family val="2"/>
          </rPr>
          <t>Thanayot P &lt;PH-SM-PL/3813&gt;:</t>
        </r>
        <r>
          <rPr>
            <sz val="9"/>
            <color indexed="81"/>
            <rFont val="Tahoma"/>
            <family val="2"/>
          </rPr>
          <t xml:space="preserve">
on 18th GPSC CUP3 S40 off spec eff 15:30-19th @13:00</t>
        </r>
      </text>
    </comment>
    <comment ref="D71" authorId="0">
      <text>
        <r>
          <rPr>
            <b/>
            <sz val="9"/>
            <color indexed="81"/>
            <rFont val="Tahoma"/>
            <family val="2"/>
          </rPr>
          <t>Thanayot P &lt;PH-SM-PL/3813&gt;:</t>
        </r>
        <r>
          <rPr>
            <sz val="9"/>
            <color indexed="81"/>
            <rFont val="Tahoma"/>
            <family val="2"/>
          </rPr>
          <t xml:space="preserve">
on 18th GPSC CUP3 S40 off spec eff 15:30-19th @13:00</t>
        </r>
      </text>
    </comment>
    <comment ref="G107" authorId="0">
      <text>
        <r>
          <rPr>
            <b/>
            <sz val="9"/>
            <color indexed="81"/>
            <rFont val="Tahoma"/>
            <family val="2"/>
          </rPr>
          <t>Thanayot P &lt;PH-SM-PL/3813&gt;:</t>
        </r>
        <r>
          <rPr>
            <sz val="9"/>
            <color indexed="81"/>
            <rFont val="Tahoma"/>
            <family val="2"/>
          </rPr>
          <t xml:space="preserve">
Hand Over BPA in Silo 428 MT fr Apr</t>
        </r>
      </text>
    </comment>
  </commentList>
</comments>
</file>

<file path=xl/comments3.xml><?xml version="1.0" encoding="utf-8"?>
<comments xmlns="http://schemas.openxmlformats.org/spreadsheetml/2006/main">
  <authors>
    <author>ppcl510093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ppcl510093:
on spec + off spec
ตาม FX-1413 (100%)</t>
        </r>
      </text>
    </comment>
  </commentList>
</comments>
</file>

<file path=xl/comments4.xml><?xml version="1.0" encoding="utf-8"?>
<comments xmlns="http://schemas.openxmlformats.org/spreadsheetml/2006/main">
  <authors>
    <author>ppcl510093</author>
    <author>Thanayot P &lt;PH-SM-PL/3813&gt;</author>
  </authors>
  <commentList>
    <comment ref="D3" authorId="0">
      <text>
        <r>
          <rPr>
            <b/>
            <sz val="8"/>
            <color indexed="81"/>
            <rFont val="Tahoma"/>
            <family val="2"/>
          </rPr>
          <t>ppcl510093:</t>
        </r>
        <r>
          <rPr>
            <sz val="8"/>
            <color indexed="81"/>
            <rFont val="Tahoma"/>
            <family val="2"/>
          </rPr>
          <t xml:space="preserve">
Feed Receive</t>
        </r>
      </text>
    </comment>
    <comment ref="H3" authorId="0">
      <text>
        <r>
          <rPr>
            <b/>
            <sz val="8"/>
            <color indexed="81"/>
            <rFont val="Tahoma"/>
            <family val="2"/>
          </rPr>
          <t>ppcl510093:</t>
        </r>
        <r>
          <rPr>
            <sz val="8"/>
            <color indexed="81"/>
            <rFont val="Tahoma"/>
            <family val="2"/>
          </rPr>
          <t xml:space="preserve">
Feed Receive
</t>
        </r>
      </text>
    </comment>
    <comment ref="C35" authorId="1">
      <text>
        <r>
          <rPr>
            <b/>
            <sz val="9"/>
            <color indexed="81"/>
            <rFont val="Tahoma"/>
            <family val="2"/>
          </rPr>
          <t>Thanayot P &lt;PH-SM-PL/3813&gt;:</t>
        </r>
        <r>
          <rPr>
            <sz val="9"/>
            <color indexed="81"/>
            <rFont val="Tahoma"/>
            <family val="2"/>
          </rPr>
          <t xml:space="preserve">
Reconcile by GMM TkMignight</t>
        </r>
      </text>
    </comment>
    <comment ref="G35" authorId="1">
      <text>
        <r>
          <rPr>
            <b/>
            <sz val="9"/>
            <color indexed="81"/>
            <rFont val="Tahoma"/>
            <family val="2"/>
          </rPr>
          <t>Thanayot P &lt;PH-SM-PL/3813&gt;:</t>
        </r>
        <r>
          <rPr>
            <sz val="9"/>
            <color indexed="81"/>
            <rFont val="Tahoma"/>
            <family val="2"/>
          </rPr>
          <t xml:space="preserve">
Reconcil by GMM TK Midnight</t>
        </r>
      </text>
    </comment>
  </commentList>
</comments>
</file>

<file path=xl/comments5.xml><?xml version="1.0" encoding="utf-8"?>
<comments xmlns="http://schemas.openxmlformats.org/spreadsheetml/2006/main">
  <authors>
    <author>TP/3813</author>
  </authors>
  <commentList>
    <comment ref="Q42" authorId="0">
      <text>
        <r>
          <rPr>
            <b/>
            <sz val="9"/>
            <color indexed="81"/>
            <rFont val="Tahoma"/>
            <family val="2"/>
          </rPr>
          <t>TP/3813:</t>
        </r>
        <r>
          <rPr>
            <sz val="9"/>
            <color indexed="81"/>
            <rFont val="Tahoma"/>
            <family val="2"/>
          </rPr>
          <t xml:space="preserve">
move fr Mth before</t>
        </r>
      </text>
    </comment>
    <comment ref="R42" authorId="0">
      <text>
        <r>
          <rPr>
            <b/>
            <sz val="9"/>
            <color indexed="81"/>
            <rFont val="Tahoma"/>
            <family val="2"/>
          </rPr>
          <t>TP/3813: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tc={9C246F1E-07BB-41C5-AB5F-C2CB471D8EA4}</author>
    <author>Thanayot P &lt;PH-SM-PL/3813&gt;</author>
  </authors>
  <commentList>
    <comment ref="B3" authorId="0">
      <text>
        <r>
          <rPr>
            <sz val="11"/>
            <color theme="1"/>
            <rFont val="Calibri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หัก recycle 24*Flow 1242*ความเข้มข้น 4,4 BPA in TK-1251</t>
        </r>
      </text>
    </comment>
    <comment ref="C6" authorId="1">
      <text>
        <r>
          <rPr>
            <b/>
            <sz val="9"/>
            <color indexed="81"/>
            <rFont val="Tahoma"/>
            <family val="2"/>
          </rPr>
          <t>Thanayot P &lt;PH-SM-PL/3813&gt;:</t>
        </r>
        <r>
          <rPr>
            <sz val="9"/>
            <color indexed="81"/>
            <rFont val="Tahoma"/>
            <family val="2"/>
          </rPr>
          <t xml:space="preserve">
หัก Reprocess แล้ว</t>
        </r>
      </text>
    </comment>
    <comment ref="E33" authorId="1">
      <text>
        <r>
          <rPr>
            <b/>
            <sz val="9"/>
            <color indexed="81"/>
            <rFont val="Tahoma"/>
            <family val="2"/>
          </rPr>
          <t>Thanayot P &lt;PH-SM-PL/3813&gt;:</t>
        </r>
        <r>
          <rPr>
            <sz val="9"/>
            <color indexed="81"/>
            <rFont val="Tahoma"/>
            <family val="2"/>
          </rPr>
          <t xml:space="preserve">
ต้องเป็น 0 เสมอ</t>
        </r>
      </text>
    </comment>
    <comment ref="E36" authorId="1">
      <text>
        <r>
          <rPr>
            <b/>
            <sz val="9"/>
            <color indexed="81"/>
            <rFont val="Tahoma"/>
            <family val="2"/>
          </rPr>
          <t>Thanayot P &lt;PH-SM-PL/3813&gt;:</t>
        </r>
        <r>
          <rPr>
            <sz val="9"/>
            <color indexed="81"/>
            <rFont val="Tahoma"/>
            <family val="2"/>
          </rPr>
          <t xml:space="preserve">
ต้องเป็น 0 เสมอ</t>
        </r>
      </text>
    </comment>
  </commentList>
</comments>
</file>

<file path=xl/comments7.xml><?xml version="1.0" encoding="utf-8"?>
<comments xmlns="http://schemas.openxmlformats.org/spreadsheetml/2006/main">
  <authors>
    <author>ppcl510093</author>
  </authors>
  <commentList>
    <comment ref="D43" authorId="0">
      <text>
        <r>
          <rPr>
            <b/>
            <sz val="8"/>
            <color indexed="81"/>
            <rFont val="Tahoma"/>
            <family val="2"/>
          </rPr>
          <t>ppcl510093:</t>
        </r>
        <r>
          <rPr>
            <sz val="8"/>
            <color indexed="81"/>
            <rFont val="Tahoma"/>
            <family val="2"/>
          </rPr>
          <t xml:space="preserve">
start reaction 1 Feb12 @ 22:00 PM แต่ prill ยังไม่ออก (จะออก วันที่ 2 Feb 12 ประมาณ 4:00 AM )
</t>
        </r>
      </text>
    </comment>
    <comment ref="D44" authorId="0">
      <text>
        <r>
          <rPr>
            <b/>
            <sz val="8"/>
            <color indexed="81"/>
            <rFont val="Tahoma"/>
            <family val="2"/>
          </rPr>
          <t>ppcl510093:</t>
        </r>
        <r>
          <rPr>
            <sz val="8"/>
            <color indexed="81"/>
            <rFont val="Tahoma"/>
            <family val="2"/>
          </rPr>
          <t xml:space="preserve">
start reaction 1 Feb12 @ 22:00 PM แต่ prill ยังไม่ออก (จะออก วันที่ 2 Feb 12 ประมาณ 4:00 AM )
</t>
        </r>
      </text>
    </comment>
    <comment ref="D47" authorId="0">
      <text>
        <r>
          <rPr>
            <b/>
            <sz val="8"/>
            <color indexed="81"/>
            <rFont val="Tahoma"/>
            <family val="2"/>
          </rPr>
          <t>ppcl510093:</t>
        </r>
        <r>
          <rPr>
            <sz val="8"/>
            <color indexed="81"/>
            <rFont val="Tahoma"/>
            <family val="2"/>
          </rPr>
          <t xml:space="preserve">
start reaction 1 Feb12 @ 22:00 PM แต่ prill ยังไม่ออก (จะออก วันที่ 2 Feb 12 ประมาณ 4:00 AM )
</t>
        </r>
      </text>
    </comment>
    <comment ref="D48" authorId="0">
      <text>
        <r>
          <rPr>
            <b/>
            <sz val="8"/>
            <color indexed="81"/>
            <rFont val="Tahoma"/>
            <family val="2"/>
          </rPr>
          <t>ppcl510093:</t>
        </r>
        <r>
          <rPr>
            <sz val="8"/>
            <color indexed="81"/>
            <rFont val="Tahoma"/>
            <family val="2"/>
          </rPr>
          <t xml:space="preserve">
start reaction on 14 Feb 13:28 PM</t>
        </r>
      </text>
    </comment>
    <comment ref="G57" authorId="0">
      <text>
        <r>
          <rPr>
            <b/>
            <sz val="8"/>
            <color indexed="81"/>
            <rFont val="Tahoma"/>
            <family val="2"/>
          </rPr>
          <t>ppcl510093:</t>
        </r>
        <r>
          <rPr>
            <sz val="8"/>
            <color indexed="81"/>
            <rFont val="Tahoma"/>
            <family val="2"/>
          </rPr>
          <t xml:space="preserve">
ไม่ต้องคิด downtime เพราะว่า prill stop แต่ product ยัง on spec</t>
        </r>
      </text>
    </comment>
  </commentList>
</comments>
</file>

<file path=xl/comments8.xml><?xml version="1.0" encoding="utf-8"?>
<comments xmlns="http://schemas.openxmlformats.org/spreadsheetml/2006/main">
  <authors>
    <author>ppcl510093</author>
    <author>Thanayot P &lt;PH-SM-PL/3813&gt;</author>
  </authors>
  <commentList>
    <comment ref="BB4" authorId="0">
      <text>
        <r>
          <rPr>
            <b/>
            <sz val="9"/>
            <color indexed="81"/>
            <rFont val="Tahoma"/>
            <family val="2"/>
          </rPr>
          <t>ppcl510093:</t>
        </r>
        <r>
          <rPr>
            <sz val="9"/>
            <color indexed="81"/>
            <rFont val="Tahoma"/>
            <family val="2"/>
          </rPr>
          <t xml:space="preserve">
bagging from silo &amp; tank car</t>
        </r>
      </text>
    </comment>
    <comment ref="BW4" authorId="0">
      <text>
        <r>
          <rPr>
            <b/>
            <sz val="9"/>
            <color indexed="81"/>
            <rFont val="Tahoma"/>
            <family val="2"/>
          </rPr>
          <t>ppcl510093:</t>
        </r>
        <r>
          <rPr>
            <sz val="9"/>
            <color indexed="81"/>
            <rFont val="Tahoma"/>
            <family val="2"/>
          </rPr>
          <t xml:space="preserve">
bagging from silo &amp; tank car</t>
        </r>
      </text>
    </comment>
    <comment ref="P6" authorId="1">
      <text>
        <r>
          <rPr>
            <b/>
            <sz val="9"/>
            <color indexed="81"/>
            <rFont val="Tahoma"/>
            <family val="2"/>
          </rPr>
          <t>Thanayot P &lt;PH-SM-PL/3813&gt;:</t>
        </r>
        <r>
          <rPr>
            <sz val="9"/>
            <color indexed="81"/>
            <rFont val="Tahoma"/>
            <family val="2"/>
          </rPr>
          <t xml:space="preserve">
Silo Handover fr Apr for Truck Selling 428.4</t>
        </r>
      </text>
    </comment>
  </commentList>
</comments>
</file>

<file path=xl/comments9.xml><?xml version="1.0" encoding="utf-8"?>
<comments xmlns="http://schemas.openxmlformats.org/spreadsheetml/2006/main">
  <authors>
    <author>patcharapa t &lt;PH-PS-PL/3813&gt;</author>
    <author>ppcl510093</author>
  </authors>
  <commentList>
    <comment ref="AO10" authorId="0">
      <text>
        <r>
          <rPr>
            <b/>
            <sz val="9"/>
            <color indexed="81"/>
            <rFont val="Tahoma"/>
            <family val="2"/>
          </rPr>
          <t>lend to PH plant</t>
        </r>
      </text>
    </comment>
    <comment ref="I38" authorId="1">
      <text>
        <r>
          <rPr>
            <b/>
            <sz val="8"/>
            <color indexed="81"/>
            <rFont val="Tahoma"/>
            <family val="2"/>
          </rPr>
          <t>ppcl510093:</t>
        </r>
        <r>
          <rPr>
            <sz val="8"/>
            <color indexed="81"/>
            <rFont val="Tahoma"/>
            <family val="2"/>
          </rPr>
          <t xml:space="preserve">
SG. @ 30 </t>
        </r>
        <r>
          <rPr>
            <sz val="8"/>
            <color indexed="81"/>
            <rFont val="Calibri"/>
            <family val="2"/>
          </rPr>
          <t>°</t>
        </r>
        <r>
          <rPr>
            <sz val="6.8"/>
            <color indexed="81"/>
            <rFont val="Tahoma"/>
            <family val="2"/>
          </rPr>
          <t>C</t>
        </r>
      </text>
    </comment>
  </commentList>
</comments>
</file>

<file path=xl/sharedStrings.xml><?xml version="1.0" encoding="utf-8"?>
<sst xmlns="http://schemas.openxmlformats.org/spreadsheetml/2006/main" count="1538" uniqueCount="761">
  <si>
    <t>1. PRODUCT &amp; BY-PRODUCT</t>
  </si>
  <si>
    <t>(Monthly)</t>
  </si>
  <si>
    <t xml:space="preserve"> (YTD)</t>
  </si>
  <si>
    <t>OPEN STOCK</t>
  </si>
  <si>
    <t>CLOSED STOCK</t>
  </si>
  <si>
    <t>SALE OUT</t>
  </si>
  <si>
    <t>Actual</t>
  </si>
  <si>
    <t>Budget</t>
  </si>
  <si>
    <t>BPA on_spec (SUM)</t>
  </si>
  <si>
    <t>T</t>
  </si>
  <si>
    <t>TAR</t>
  </si>
  <si>
    <t>PLO</t>
  </si>
  <si>
    <t>SEND TO BAG</t>
  </si>
  <si>
    <t xml:space="preserve">On </t>
  </si>
  <si>
    <t>Off</t>
  </si>
  <si>
    <t xml:space="preserve">       Metal Bag</t>
  </si>
  <si>
    <t xml:space="preserve">       Other</t>
  </si>
  <si>
    <t>-</t>
  </si>
  <si>
    <t xml:space="preserve">Actual </t>
  </si>
  <si>
    <t>(YTD)</t>
  </si>
  <si>
    <t>PHENOL</t>
  </si>
  <si>
    <t>ACETONE</t>
  </si>
  <si>
    <t>50% NaOH</t>
  </si>
  <si>
    <t>Kg</t>
  </si>
  <si>
    <t>ETHYLBENZENE</t>
  </si>
  <si>
    <t>NaOCl</t>
  </si>
  <si>
    <t>40% UREA</t>
  </si>
  <si>
    <t>35%HCl</t>
  </si>
  <si>
    <t>85%H3PO4</t>
  </si>
  <si>
    <t>POLYMER</t>
  </si>
  <si>
    <t>Charcoal adsorber for Scrubber</t>
  </si>
  <si>
    <t>Charcoal adsorber for WWT</t>
  </si>
  <si>
    <t>S40</t>
  </si>
  <si>
    <t>S17</t>
  </si>
  <si>
    <t>DW</t>
  </si>
  <si>
    <t>CLW</t>
  </si>
  <si>
    <t>BFW</t>
  </si>
  <si>
    <t>N2</t>
  </si>
  <si>
    <t>Nm3</t>
  </si>
  <si>
    <t>POWER</t>
  </si>
  <si>
    <t>Daily BPA Rate</t>
  </si>
  <si>
    <t>Ton/day</t>
  </si>
  <si>
    <t>YTD</t>
  </si>
  <si>
    <t>Budget11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</si>
  <si>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</si>
  <si>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</si>
  <si>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</si>
  <si>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</si>
  <si>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</si>
  <si>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</si>
  <si>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</si>
  <si>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</si>
  <si>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</si>
  <si>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</si>
  <si>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</si>
  <si>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</si>
  <si>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ACETONE DRAIN</t>
  </si>
  <si>
    <t>Raw material Consumption</t>
  </si>
  <si>
    <t>PHENOL consumtion (T-PHL)</t>
  </si>
  <si>
    <t>ACETONE consumption (T-ACT)</t>
  </si>
  <si>
    <t>PHL+ACT</t>
  </si>
  <si>
    <t>Utilities and Chemical Consumption</t>
  </si>
  <si>
    <t>Billing S40 (T)</t>
  </si>
  <si>
    <t>Billing S17 (T)</t>
  </si>
  <si>
    <t>Billing DW(T)</t>
  </si>
  <si>
    <t>Billing BFW (T)</t>
  </si>
  <si>
    <t>Billing CLW (T)</t>
  </si>
  <si>
    <t>Billing N2 (Nm3)</t>
  </si>
  <si>
    <t>Billing Power (KWH)</t>
  </si>
  <si>
    <t>50% NaOH (Kg)</t>
  </si>
  <si>
    <t>Ethyl Benzene (Kg)</t>
  </si>
  <si>
    <t>NaOCl (Kg)</t>
  </si>
  <si>
    <t>35% HCl (Kg)</t>
  </si>
  <si>
    <t>40% UREA (Kg)</t>
  </si>
  <si>
    <t>85%H3PO4 (Kg)</t>
  </si>
  <si>
    <t>POLYMER (Kg)</t>
  </si>
  <si>
    <t>Charcoal adsorber Calgon for Scrubber (Kg)</t>
  </si>
  <si>
    <t xml:space="preserve">AC @ WWT (Right sulution) (Kg) </t>
  </si>
  <si>
    <t xml:space="preserve">Remark:  AC @ WWT (Right sulution) </t>
  </si>
  <si>
    <t>Raw material Unit Consumption</t>
  </si>
  <si>
    <t>Guarantee MCC</t>
  </si>
  <si>
    <t>Phenol/BPA product</t>
  </si>
  <si>
    <t>Acetone/BPA product</t>
  </si>
  <si>
    <t>Phenol+Acetone/T-BPA product</t>
  </si>
  <si>
    <t>Billing S40 (T/T-BPA)</t>
  </si>
  <si>
    <t>Billing S17 (T/T-BPA)</t>
  </si>
  <si>
    <t>Billing DW(T-BPA)</t>
  </si>
  <si>
    <t>Billing BFW (T/T-BPA)</t>
  </si>
  <si>
    <t>Billing CLW (T/T-BPA)</t>
  </si>
  <si>
    <t>Billing N2 (Nm3/T-BPA)</t>
  </si>
  <si>
    <t>50% NaOH (k-BPA)</t>
  </si>
  <si>
    <t>Ethyl Benzene (k-BPA)</t>
  </si>
  <si>
    <t>NaOCl (Kg-BPA)</t>
  </si>
  <si>
    <t>HCl (Kg-BPA)</t>
  </si>
  <si>
    <t>UREA (Kg-BPA)</t>
  </si>
  <si>
    <t>85%H3PO4 (Kg-BPA)</t>
  </si>
  <si>
    <t>POLYMER (Kg-BPA)</t>
  </si>
  <si>
    <t>Charcoal adsorber Calgon for Scrubber (Kg-BPA)</t>
  </si>
  <si>
    <t>By-Product per Product</t>
  </si>
  <si>
    <t>TAR (T/T-BPA)</t>
  </si>
  <si>
    <t>PLO  (T/T-BPA)</t>
  </si>
  <si>
    <t>Acetone drain  (T/T-BPA)</t>
  </si>
  <si>
    <t>Acetone</t>
  </si>
  <si>
    <t>m3</t>
  </si>
  <si>
    <t>%</t>
  </si>
  <si>
    <t>Ton</t>
  </si>
  <si>
    <t>Total</t>
  </si>
  <si>
    <t>Date</t>
  </si>
  <si>
    <t>T-BPA</t>
  </si>
  <si>
    <t>BPA Rate (%)</t>
  </si>
  <si>
    <r>
      <rPr>
        <b/>
        <u/>
        <sz val="11"/>
        <color indexed="8"/>
        <rFont val="Calibri"/>
        <family val="2"/>
      </rPr>
      <t>Unit</t>
    </r>
    <r>
      <rPr>
        <b/>
        <sz val="11"/>
        <color indexed="8"/>
        <rFont val="Calibri"/>
        <family val="2"/>
      </rPr>
      <t>: Ton</t>
    </r>
  </si>
  <si>
    <t>Time Period</t>
  </si>
  <si>
    <t>Phenol</t>
  </si>
  <si>
    <t>TK-1111</t>
  </si>
  <si>
    <t>FQ-1111</t>
  </si>
  <si>
    <t>Issue
(Equation)</t>
  </si>
  <si>
    <t>TK-1112</t>
  </si>
  <si>
    <t>FQ-1112</t>
  </si>
  <si>
    <t>Beginning Inventory</t>
  </si>
  <si>
    <t>Ending Inventory</t>
  </si>
  <si>
    <t>BPA Plant</t>
  </si>
  <si>
    <t>BG</t>
  </si>
  <si>
    <t>R/C (Invoice)</t>
  </si>
  <si>
    <t>Available</t>
  </si>
  <si>
    <t>Production</t>
  </si>
  <si>
    <t>End</t>
  </si>
  <si>
    <t>BPA</t>
  </si>
  <si>
    <t>BPA Grade</t>
  </si>
  <si>
    <t>Packing</t>
  </si>
  <si>
    <t>Product Summary from Bagging</t>
  </si>
  <si>
    <t>Sale</t>
  </si>
  <si>
    <t>Bagging (Ton/day)</t>
  </si>
  <si>
    <t>PC Grade</t>
  </si>
  <si>
    <t>Epoxy Grade</t>
  </si>
  <si>
    <t>Off Spec.</t>
  </si>
  <si>
    <t>total</t>
  </si>
  <si>
    <t>Ton/hr</t>
  </si>
  <si>
    <t>Beginning</t>
  </si>
  <si>
    <t>Ending</t>
  </si>
  <si>
    <t>Summation</t>
  </si>
  <si>
    <t>1)</t>
  </si>
  <si>
    <t>2)</t>
  </si>
  <si>
    <t>3)</t>
  </si>
  <si>
    <t>4)</t>
  </si>
  <si>
    <t>Total BPA product from FX-1413</t>
  </si>
  <si>
    <t>Work in process silo</t>
  </si>
  <si>
    <t>Send to Bagging</t>
  </si>
  <si>
    <t>Remark</t>
  </si>
  <si>
    <t>hh:mm</t>
  </si>
  <si>
    <t>S-1303B</t>
  </si>
  <si>
    <t>D-1401</t>
  </si>
  <si>
    <t xml:space="preserve">S-1303A </t>
  </si>
  <si>
    <t xml:space="preserve">L-1601 </t>
  </si>
  <si>
    <t>PPCL</t>
  </si>
  <si>
    <t xml:space="preserve">B/G </t>
  </si>
  <si>
    <t xml:space="preserve">Ending </t>
  </si>
  <si>
    <t>Received</t>
  </si>
  <si>
    <t>By Product Inventory</t>
  </si>
  <si>
    <t>Process Flow</t>
  </si>
  <si>
    <t>Drainage System</t>
  </si>
  <si>
    <t>TK-1873 Beginning</t>
  </si>
  <si>
    <t>TK-1873    Ending</t>
  </si>
  <si>
    <t>Sale out(ton/day)</t>
  </si>
  <si>
    <t>(Equation)</t>
  </si>
  <si>
    <t>TK-1121 Beginning</t>
  </si>
  <si>
    <t>Sale out</t>
  </si>
  <si>
    <t xml:space="preserve"> Beginning </t>
  </si>
  <si>
    <t xml:space="preserve">   Ending</t>
  </si>
  <si>
    <t xml:space="preserve">Date </t>
  </si>
  <si>
    <t>PTTUT</t>
  </si>
  <si>
    <t>40 HS</t>
  </si>
  <si>
    <t>17HP</t>
  </si>
  <si>
    <t>(T/Day)</t>
  </si>
  <si>
    <t>T/day</t>
  </si>
  <si>
    <t>วันที่</t>
  </si>
  <si>
    <t>Beginning (kg)</t>
  </si>
  <si>
    <t>Purchase (kg)</t>
  </si>
  <si>
    <t>Consume  (kg)</t>
  </si>
  <si>
    <t>Ending  (kg)</t>
  </si>
  <si>
    <t>ถังเต็ม</t>
  </si>
  <si>
    <t>KG</t>
  </si>
  <si>
    <t>Remain polymer =</t>
  </si>
  <si>
    <t>bag</t>
  </si>
  <si>
    <t>kg</t>
  </si>
  <si>
    <t>Production
 (On)</t>
  </si>
  <si>
    <t>BPA off_spec (SUM)</t>
  </si>
  <si>
    <t>Production
 (Off Quality)</t>
  </si>
  <si>
    <t>Production
 (Off Metal)</t>
  </si>
  <si>
    <t>product</t>
  </si>
  <si>
    <t>on</t>
  </si>
  <si>
    <t>off quality</t>
  </si>
  <si>
    <t>off metal</t>
  </si>
  <si>
    <t>off</t>
  </si>
  <si>
    <t>Sale (on)</t>
  </si>
  <si>
    <t>Tranfer Out</t>
  </si>
  <si>
    <t>Reprocess</t>
  </si>
  <si>
    <t>Internal Use</t>
  </si>
  <si>
    <t>4)- 3)</t>
  </si>
  <si>
    <t>Change the new pump P-1703 and pump venting P-1403 in order to decrease unplan shutdown</t>
  </si>
  <si>
    <t>AVERAGE(F67:N67)</t>
  </si>
  <si>
    <t>, pack in</t>
  </si>
  <si>
    <t xml:space="preserve">Produce in </t>
  </si>
  <si>
    <t>ton</t>
  </si>
  <si>
    <t>change status</t>
  </si>
  <si>
    <t>change pack</t>
  </si>
  <si>
    <t>Adjust</t>
  </si>
  <si>
    <t>Total (On)</t>
  </si>
  <si>
    <t>Transfer in (On)
from reprocess</t>
  </si>
  <si>
    <t>Budget12</t>
  </si>
  <si>
    <t>Billing Power (KWH/T-BPA)</t>
  </si>
  <si>
    <t>reference density @ 15 °C =</t>
  </si>
  <si>
    <t>at 100% level tank volume =</t>
  </si>
  <si>
    <t>100% level tank vol=</t>
  </si>
  <si>
    <r>
      <t>ref density 30</t>
    </r>
    <r>
      <rPr>
        <sz val="10"/>
        <rFont val="Calibri"/>
        <family val="2"/>
      </rPr>
      <t>°C</t>
    </r>
  </si>
  <si>
    <t>m3 (include dead stock 1.856 m3)</t>
  </si>
  <si>
    <t>ref density</t>
  </si>
  <si>
    <t xml:space="preserve">m3 </t>
  </si>
  <si>
    <t>PTTUT power failure</t>
  </si>
  <si>
    <t>C-1301 vacuum pump mechanical seal breakdown</t>
  </si>
  <si>
    <t>C-1401A tripped</t>
  </si>
  <si>
    <t>S-1303A tripped</t>
  </si>
  <si>
    <t>C-1401 lube oil leak</t>
  </si>
  <si>
    <t xml:space="preserve">       Phenol holdup</t>
  </si>
  <si>
    <t xml:space="preserve">       Acetone holdup</t>
  </si>
  <si>
    <t>CLOSE STOCK</t>
  </si>
  <si>
    <t xml:space="preserve">Ending
On Spec  </t>
  </si>
  <si>
    <t>Ending
Off Quality</t>
  </si>
  <si>
    <t>Ending
Off Metal</t>
  </si>
  <si>
    <t>B/G
 (Off Quality)</t>
  </si>
  <si>
    <t>B/G (Off Metal)</t>
  </si>
  <si>
    <t>Total On spec in Bagging Area</t>
  </si>
  <si>
    <t>Off (Q) in Bagging Area</t>
  </si>
  <si>
    <t>Off (M) in Bagging Area</t>
  </si>
  <si>
    <t>C-1201 vacuum pump tripped</t>
  </si>
  <si>
    <t>D-1401 upper bearing breakdown</t>
  </si>
  <si>
    <t>L-1601 Trip</t>
  </si>
  <si>
    <t>C-1401</t>
  </si>
  <si>
    <t>C-1201</t>
  </si>
  <si>
    <t>Total On spec in Silo</t>
  </si>
  <si>
    <t xml:space="preserve">No </t>
  </si>
  <si>
    <r>
      <t>Time</t>
    </r>
    <r>
      <rPr>
        <sz val="10"/>
        <color rgb="FF000000"/>
        <rFont val="Tahoma"/>
        <family val="2"/>
        <scheme val="major"/>
      </rPr>
      <t xml:space="preserve"> </t>
    </r>
  </si>
  <si>
    <r>
      <t>Equipment</t>
    </r>
    <r>
      <rPr>
        <sz val="10"/>
        <color rgb="FF000000"/>
        <rFont val="Tahoma"/>
        <family val="2"/>
        <scheme val="major"/>
      </rPr>
      <t xml:space="preserve"> </t>
    </r>
  </si>
  <si>
    <r>
      <t>Cause</t>
    </r>
    <r>
      <rPr>
        <sz val="10"/>
        <color rgb="FF000000"/>
        <rFont val="Tahoma"/>
        <family val="2"/>
        <scheme val="major"/>
      </rPr>
      <t xml:space="preserve"> </t>
    </r>
  </si>
  <si>
    <t>Down time</t>
  </si>
  <si>
    <t>Unplan shutdown
(Production plan)</t>
  </si>
  <si>
    <t>Schedule Shutdown</t>
  </si>
  <si>
    <t>un(budget)plan</t>
  </si>
  <si>
    <t>Internal/ External factor</t>
  </si>
  <si>
    <t>Shutdown</t>
  </si>
  <si>
    <t>Start Up</t>
  </si>
  <si>
    <t xml:space="preserve">S-1303A High Vibration Trip </t>
  </si>
  <si>
    <t xml:space="preserve">S-1303A High Current Trip </t>
  </si>
  <si>
    <t xml:space="preserve">S-1302 </t>
  </si>
  <si>
    <t xml:space="preserve">S-1302 Trip and found big BPA particle in S-1302 </t>
  </si>
  <si>
    <t xml:space="preserve">C-1301 </t>
  </si>
  <si>
    <t>ลดกำลังการผลิตเหลือ 60%</t>
  </si>
  <si>
    <t>fix pump P-1301</t>
  </si>
  <si>
    <t>clear BPA chunk at D-1501</t>
  </si>
  <si>
    <t>by commercial reason</t>
  </si>
  <si>
    <t>n</t>
  </si>
  <si>
    <t>y</t>
  </si>
  <si>
    <t>E</t>
  </si>
  <si>
    <t xml:space="preserve">steam supply from PTTUT failure </t>
  </si>
  <si>
    <t>PTTUT switch line BFW to tempo (BFW decrease steam temp to BPA)</t>
  </si>
  <si>
    <t xml:space="preserve">S-1303B trip </t>
  </si>
  <si>
    <t>ลด rate เหลือ 60%</t>
  </si>
  <si>
    <t>พบว่า C-1301 รั่วระหว่างการ Startup ในวันที่ 2/2 เวลา 1:30 AM หยุดการผลิต 43.9 ชม. สูญเสียโอกาสผลิต 770 ตัน (คิดที่ 90 %OR)</t>
  </si>
  <si>
    <t>ผลกระทบต่อเนื่องจาก PTTUT failure</t>
  </si>
  <si>
    <t>C-1401A</t>
  </si>
  <si>
    <t>S-1303B damage cannot run at 90% OR</t>
  </si>
  <si>
    <t>Plan S/D</t>
  </si>
  <si>
    <t>delay start up (PTTUT supply power again on 9/4/12 at 12.15 PM</t>
  </si>
  <si>
    <t>I</t>
  </si>
  <si>
    <t>delay start up</t>
  </si>
  <si>
    <t>ไม่ได้ shutdown</t>
  </si>
  <si>
    <t>not S/D</t>
  </si>
  <si>
    <t xml:space="preserve">C-1301 trip </t>
  </si>
  <si>
    <t>S/D</t>
  </si>
  <si>
    <t>S-1303B trip by VSD reduce rate to 75%</t>
  </si>
  <si>
    <t>P-1403</t>
  </si>
  <si>
    <t xml:space="preserve">flow disc P-1403 drop caused D-1501 Prill tower pressure drop bringing out interlock cut prill </t>
  </si>
  <si>
    <t>S-1301, S-1302, P-1903B</t>
  </si>
  <si>
    <t>S-1301, S-1302, P-1902B, P-1903B trip due to power from PTTUT dropped</t>
  </si>
  <si>
    <t xml:space="preserve">chunk stuck at bottom of prill tower </t>
  </si>
  <si>
    <t xml:space="preserve">Total </t>
  </si>
  <si>
    <t>BPA Production on-spec</t>
  </si>
  <si>
    <t>BPA Production off-spec</t>
  </si>
  <si>
    <t>L-1601 High current trip</t>
  </si>
  <si>
    <t>S-1301</t>
  </si>
  <si>
    <t>S-1301 gland packing damage</t>
  </si>
  <si>
    <t>ITEM</t>
  </si>
  <si>
    <t>UNIT</t>
  </si>
  <si>
    <t xml:space="preserve">         BPA PLANT PRODUCTION MONTHLY REPORT</t>
  </si>
  <si>
    <t xml:space="preserve">PRODUCTION QUANTITY </t>
  </si>
  <si>
    <t>Transfer In</t>
  </si>
  <si>
    <t>check endIng</t>
  </si>
  <si>
    <t xml:space="preserve">     -  BPA (SIlo) On_Spec</t>
  </si>
  <si>
    <t xml:space="preserve">     -  BPA (SIlo) Off_Spec Metal</t>
  </si>
  <si>
    <t xml:space="preserve">     -  BPA (SIlo) Off_Spec QualIty</t>
  </si>
  <si>
    <t>Acetone draIn</t>
  </si>
  <si>
    <t>2. PACKING STATION</t>
  </si>
  <si>
    <t>PRODUCTION</t>
  </si>
  <si>
    <t>RECEIVED</t>
  </si>
  <si>
    <t xml:space="preserve">CONSUMPTION </t>
  </si>
  <si>
    <t xml:space="preserve">UNIT/T-BPA </t>
  </si>
  <si>
    <t>from Work In process</t>
  </si>
  <si>
    <t>CONSUMPTION</t>
  </si>
  <si>
    <t>UNIT/T-BPA</t>
  </si>
  <si>
    <t>by packing</t>
  </si>
  <si>
    <t>Damage</t>
  </si>
  <si>
    <t>Plan schedule S/D for maintenance</t>
  </si>
  <si>
    <t>Plan S/D (for regenerate catalyst)</t>
  </si>
  <si>
    <t>Abnormal production loss</t>
  </si>
  <si>
    <t>Inventory</t>
  </si>
  <si>
    <t>Budget13</t>
  </si>
  <si>
    <t xml:space="preserve">All Production </t>
  </si>
  <si>
    <t>off spec</t>
  </si>
  <si>
    <t xml:space="preserve">       BPA off specification</t>
  </si>
  <si>
    <t>exclude utilities during T/A</t>
  </si>
  <si>
    <t>include utilities during T/A</t>
  </si>
  <si>
    <t xml:space="preserve">C-1301 Trip pressure discharge HH </t>
  </si>
  <si>
    <t xml:space="preserve">Pipe Line </t>
  </si>
  <si>
    <t xml:space="preserve">Discharge ine from S-1301 to N-1304 was clogged </t>
  </si>
  <si>
    <t xml:space="preserve">L-1601 Overload Trip </t>
  </si>
  <si>
    <t>Interlock</t>
  </si>
  <si>
    <t>Interlock safegaurd level switch ที่ TK-1602 สั่งปิด valve ที่เข้า dephenolator D1401 และ cut prill nozzle</t>
  </si>
  <si>
    <t>D-1501</t>
  </si>
  <si>
    <t>prill ออกไม่ทัน</t>
  </si>
  <si>
    <t>Flexible Hose</t>
  </si>
  <si>
    <t>flexible host ก่อนเข้า prill screen Z-1551 แตก</t>
  </si>
  <si>
    <t>BPA lump stuck inside prill tower cannot transfer BPA product to Silo</t>
  </si>
  <si>
    <t>S-1303A trip, BPA lump stuck inside Prill Tower</t>
  </si>
  <si>
    <t>D-1401 trip</t>
  </si>
  <si>
    <t xml:space="preserve">C-1301 Interlock Trip pressure discharge HH </t>
  </si>
  <si>
    <t>Z-1551</t>
  </si>
  <si>
    <t>screw conveyor Z-1551</t>
  </si>
  <si>
    <t>S-1301, S-1302, S-1303</t>
  </si>
  <si>
    <t>Problem of Power Supply from PTTUT</t>
  </si>
  <si>
    <t>Planned S/D</t>
  </si>
  <si>
    <t>Schedule shutdown</t>
  </si>
  <si>
    <t xml:space="preserve">damage of conveyor L-1601  </t>
  </si>
  <si>
    <t>P-1707</t>
  </si>
  <si>
    <t>leakage at pump P-1707</t>
  </si>
  <si>
    <t>P-1708</t>
  </si>
  <si>
    <t>leakage at pump P-1708</t>
  </si>
  <si>
    <t>S-1303A/B</t>
  </si>
  <si>
    <t>S-1303A/B high vibration trip</t>
  </si>
  <si>
    <t>D-1401 current trip (bearing)</t>
  </si>
  <si>
    <t>Screw conveyor Z-1551 breakdown</t>
  </si>
  <si>
    <t>PTTUT failure</t>
  </si>
  <si>
    <t>PTTUT power and steam failure</t>
  </si>
  <si>
    <t>S-1301, S-1302, C-1301</t>
  </si>
  <si>
    <t>S-1301,S-1302, C-1301 trip due to under voltage high current</t>
  </si>
  <si>
    <t>Schedule shutdown (change bearing D-1401, clean E-1501)</t>
  </si>
  <si>
    <t>P-1503</t>
  </si>
  <si>
    <t>fix leak of P-1503</t>
  </si>
  <si>
    <t>P-1703, P-1403, P-1704</t>
  </si>
  <si>
    <t>P-1301</t>
  </si>
  <si>
    <t>Economics</t>
  </si>
  <si>
    <t>fix pump P-1403 during 3.00  AM- 3.15 PM (D-1404 packing damage)</t>
  </si>
  <si>
    <t xml:space="preserve">L-1601 tripped  at 18.53 PM
</t>
  </si>
  <si>
    <t>E-1101</t>
  </si>
  <si>
    <t>E-1101 leak</t>
  </si>
  <si>
    <t>P-1403, C-1301</t>
  </si>
  <si>
    <t>P-1403 bearing damage, C-1301 cannot make pressure</t>
  </si>
  <si>
    <t>%OR</t>
  </si>
  <si>
    <t>Utilities Unit consumption</t>
  </si>
  <si>
    <t>day</t>
  </si>
  <si>
    <t>BPA loss (ton)</t>
  </si>
  <si>
    <t>P-1302</t>
  </si>
  <si>
    <t>P-1302 Trip</t>
  </si>
  <si>
    <t>L-1601 damage cut feed to prill tower but continue reaction</t>
  </si>
  <si>
    <t>power swing</t>
  </si>
  <si>
    <t>D-1404</t>
  </si>
  <si>
    <t>BPA off spec</t>
  </si>
  <si>
    <t>on dust</t>
  </si>
  <si>
    <t>Truck Load (Ton/day)</t>
  </si>
  <si>
    <t>Load Truck (on)</t>
  </si>
  <si>
    <t>(include off Q &amp; off metal &amp; dust)</t>
  </si>
  <si>
    <t>(not finish pack)</t>
  </si>
  <si>
    <t xml:space="preserve"> 5) </t>
  </si>
  <si>
    <t>Net Production (3) - Reprocess</t>
  </si>
  <si>
    <t>Summary Issue Equation
(on+off+dust)</t>
  </si>
  <si>
    <t>6)</t>
  </si>
  <si>
    <t>by truck</t>
  </si>
  <si>
    <t>Load Truck</t>
  </si>
  <si>
    <t>On</t>
  </si>
  <si>
    <t>Total On spec in Truck</t>
  </si>
  <si>
    <t xml:space="preserve">Total BPA packing ton from Bagging M/C in </t>
  </si>
  <si>
    <t>total bag
(on+off-dust)</t>
  </si>
  <si>
    <t>off 750 kg</t>
  </si>
  <si>
    <t>Ending silo (on spec)</t>
  </si>
  <si>
    <t>Ending silo (off spec)</t>
  </si>
  <si>
    <t xml:space="preserve">, pack in </t>
  </si>
  <si>
    <t xml:space="preserve">off spec metal produced in </t>
  </si>
  <si>
    <t>BPA PRODUCT (in truck)</t>
  </si>
  <si>
    <t>BPA PRODUCT (in silo)</t>
  </si>
  <si>
    <t>Total pack</t>
  </si>
  <si>
    <t>Planned schedule S/D</t>
  </si>
  <si>
    <t>Budget14</t>
  </si>
  <si>
    <t>Ethyl Benzene</t>
  </si>
  <si>
    <t>35% HCl</t>
  </si>
  <si>
    <t>Density</t>
  </si>
  <si>
    <t>100% Level</t>
  </si>
  <si>
    <t>4. RAW MATERIAL CONSUMPTION</t>
  </si>
  <si>
    <t>5. CHEMICAL &amp; CATALYSTS CONSUMPTION</t>
  </si>
  <si>
    <t>6. UTILITY CONSUMPTION</t>
  </si>
  <si>
    <t>7. Work In process</t>
  </si>
  <si>
    <t>Billing Power (Kwh)</t>
  </si>
  <si>
    <t>kWh</t>
  </si>
  <si>
    <t>Pack
(OFF Quality) 0.85 T</t>
  </si>
  <si>
    <t>Pack 
(OFF Metal) 0.85 T</t>
  </si>
  <si>
    <t>SILO ON</t>
  </si>
  <si>
    <t>SILO off quality</t>
  </si>
  <si>
    <t>SILO off metal</t>
  </si>
  <si>
    <t xml:space="preserve">OPEX by Normal run </t>
  </si>
  <si>
    <t xml:space="preserve">CAPEX by T/A Allocate </t>
  </si>
  <si>
    <t>FOR TURNAROUND</t>
  </si>
  <si>
    <t>CAPEX Consumption</t>
  </si>
  <si>
    <t>TOTAL CONSUMPTION</t>
  </si>
  <si>
    <t>FOR Production</t>
  </si>
  <si>
    <t>OPEX Consumption</t>
  </si>
  <si>
    <t>&lt;&lt;-----Chk------&gt;&gt;</t>
  </si>
  <si>
    <t>OPEX plan S/D</t>
  </si>
  <si>
    <t>3 Mercaptopropionic Acid 99%</t>
  </si>
  <si>
    <t>for Truck Loading</t>
  </si>
  <si>
    <t>OPEX by Normal run  (include usage of truck loading)</t>
  </si>
  <si>
    <t>Initial/ Return (kg)</t>
  </si>
  <si>
    <t>Activated Carbon (KOH)</t>
  </si>
  <si>
    <t>3. Off Spec. Product Bagging</t>
  </si>
  <si>
    <t>Charcoal adsorber AT460</t>
  </si>
  <si>
    <r>
      <t xml:space="preserve">Activated Carbon </t>
    </r>
    <r>
      <rPr>
        <b/>
        <sz val="12"/>
        <color rgb="FFCC0099"/>
        <rFont val="Calibri"/>
        <family val="2"/>
      </rPr>
      <t>(AT460)</t>
    </r>
  </si>
  <si>
    <t>AC (AT-460) (Kg)</t>
  </si>
  <si>
    <t>Budget15</t>
  </si>
  <si>
    <t>Adjust for SAP</t>
  </si>
  <si>
    <t>50% Sodium hydroxide(NaOH)</t>
  </si>
  <si>
    <t>Total Silo (TK-1601A/B/C &amp; TK-1602)</t>
  </si>
  <si>
    <t>(from FX-1413)</t>
  </si>
  <si>
    <t>(from packing)</t>
  </si>
  <si>
    <t>factor</t>
  </si>
  <si>
    <t>Lend to
(kg)</t>
  </si>
  <si>
    <t>Lend to</t>
  </si>
  <si>
    <t>PC</t>
  </si>
  <si>
    <t>Epoxy</t>
  </si>
  <si>
    <t>Powder</t>
  </si>
  <si>
    <t>Metal</t>
  </si>
  <si>
    <t>Quality</t>
  </si>
  <si>
    <t>Load Truck (On PC)</t>
  </si>
  <si>
    <t xml:space="preserve"> change status</t>
  </si>
  <si>
    <t>Pack  0.85 T (Powder)</t>
  </si>
  <si>
    <t>pack into bag 0.85 T</t>
  </si>
  <si>
    <t>change status 
in</t>
  </si>
  <si>
    <t>sale (off quality)</t>
  </si>
  <si>
    <t>sale (off metal)</t>
  </si>
  <si>
    <t>change status 
out</t>
  </si>
  <si>
    <t>off 850 kg</t>
  </si>
  <si>
    <t>on spec</t>
  </si>
  <si>
    <t>change pack out</t>
  </si>
  <si>
    <t>change  
 pack in</t>
  </si>
  <si>
    <t xml:space="preserve">change status 
pack in </t>
  </si>
  <si>
    <t>-Allocate to new tanks</t>
  </si>
  <si>
    <t>-Allocate to new tanks (Nm3)</t>
  </si>
  <si>
    <t>+Allocated by PH1</t>
  </si>
  <si>
    <t>Invoice</t>
  </si>
  <si>
    <t>+ Allocated from PH I</t>
  </si>
  <si>
    <t>- Allocate 
to PH I</t>
  </si>
  <si>
    <t>Rev.0</t>
  </si>
  <si>
    <t>Budget16</t>
  </si>
  <si>
    <t>Pack
0.50 T 
(on Epoxy)</t>
  </si>
  <si>
    <t>Pack
0.50 T 
(on PC)</t>
  </si>
  <si>
    <t>Pack
0.50 T 
(powder)</t>
  </si>
  <si>
    <t>Pack
(OFF Quality) 0.50 T</t>
  </si>
  <si>
    <t>Pack 
(OFF Metal) 0.50 T</t>
  </si>
  <si>
    <t>+ Allocate
 from PH I</t>
  </si>
  <si>
    <t>-Allocated to PH1</t>
  </si>
  <si>
    <t>Form : Q.UT Allocation</t>
  </si>
  <si>
    <t xml:space="preserve">  Filled by Production Planing and Phenol#2 (Positive Value Only)</t>
  </si>
  <si>
    <t>Quantity Allocation between Plant (Production Planning)</t>
  </si>
  <si>
    <t>Total Quantity</t>
  </si>
  <si>
    <t>Quantity Allocation within Plant</t>
  </si>
  <si>
    <t>( - ) Allocate to another plant</t>
  </si>
  <si>
    <t>( + ) Allocate from another plant</t>
  </si>
  <si>
    <t>(Before Allo.)</t>
  </si>
  <si>
    <t>(1).Production</t>
  </si>
  <si>
    <t>(2).Plan S/D</t>
  </si>
  <si>
    <t>(3).Turnaround</t>
  </si>
  <si>
    <t>(4).POSCO</t>
  </si>
  <si>
    <t>(5).AUC</t>
  </si>
  <si>
    <t>(After Allo.)</t>
  </si>
  <si>
    <t>Phenol#1</t>
  </si>
  <si>
    <t>Phenol#2</t>
  </si>
  <si>
    <t>(Total Plant)</t>
  </si>
  <si>
    <t>SUM : Steam</t>
  </si>
  <si>
    <t>KWH</t>
  </si>
  <si>
    <t>NM3</t>
  </si>
  <si>
    <t>M3</t>
  </si>
  <si>
    <t>3) BPA Plant</t>
  </si>
  <si>
    <t>3.1.) Steam 17 &amp; 18</t>
  </si>
  <si>
    <t>3.1.) Steam 40</t>
  </si>
  <si>
    <t xml:space="preserve">3.2) Power </t>
  </si>
  <si>
    <t>3.3) Nitrogen gas</t>
  </si>
  <si>
    <t>3.4) Clarify Water</t>
  </si>
  <si>
    <t>3.5) Demin water</t>
  </si>
  <si>
    <t>*** Reconciliation</t>
  </si>
  <si>
    <t xml:space="preserve">For Period     : </t>
  </si>
  <si>
    <t xml:space="preserve">TOTAL CONSUMPTION </t>
  </si>
  <si>
    <t>Data from PI</t>
  </si>
  <si>
    <t>Data from GPSC Meter</t>
  </si>
  <si>
    <t>Demand Plan</t>
  </si>
  <si>
    <t>Diff (Meter - Plan)</t>
  </si>
  <si>
    <t>GPSC</t>
  </si>
  <si>
    <t>FQ-9701.raw</t>
  </si>
  <si>
    <t>FQ-9402.raw</t>
  </si>
  <si>
    <t>FQ-9502.pv</t>
  </si>
  <si>
    <t>FQ-9301.pv</t>
  </si>
  <si>
    <t>FQ-9302.pv</t>
  </si>
  <si>
    <t>TR5001MB_KWH.pv</t>
  </si>
  <si>
    <t>t</t>
  </si>
  <si>
    <t>MWH</t>
  </si>
  <si>
    <t>40HS</t>
  </si>
  <si>
    <t>17HS</t>
  </si>
  <si>
    <t>Nitrogen</t>
  </si>
  <si>
    <t>SCR</t>
  </si>
  <si>
    <t>RW</t>
  </si>
  <si>
    <t>JW</t>
  </si>
  <si>
    <t>Power</t>
  </si>
  <si>
    <t>40HS_A</t>
  </si>
  <si>
    <t>17HS_A</t>
  </si>
  <si>
    <t>DW_A</t>
  </si>
  <si>
    <t>Power_A</t>
  </si>
  <si>
    <t>40HS_P</t>
  </si>
  <si>
    <t>17HS_P</t>
  </si>
  <si>
    <t>DW_P</t>
  </si>
  <si>
    <t>Power_P</t>
  </si>
  <si>
    <t>T/A</t>
  </si>
  <si>
    <t>steam cut-off (Begin at noon)</t>
  </si>
  <si>
    <t>T/A (on-spec 15:00)</t>
  </si>
  <si>
    <t>CAPEX</t>
  </si>
  <si>
    <t>PHN3-LI-1923.PV</t>
  </si>
  <si>
    <t>TK-1923 Level</t>
  </si>
  <si>
    <t>Utility</t>
  </si>
  <si>
    <t>AC</t>
  </si>
  <si>
    <t>PH</t>
  </si>
  <si>
    <t>Feed</t>
  </si>
  <si>
    <t>Cost</t>
  </si>
  <si>
    <t>Baht/unit</t>
  </si>
  <si>
    <t>Consumption</t>
  </si>
  <si>
    <t>T/A CAPEX Estimation Jun-Jul'16</t>
  </si>
  <si>
    <t>on 
Epoxy
900 kg</t>
  </si>
  <si>
    <t>quality
900 kg</t>
  </si>
  <si>
    <t>metal
900 kg</t>
  </si>
  <si>
    <t>powder
900 kg</t>
  </si>
  <si>
    <t>900 kg</t>
  </si>
  <si>
    <t>900kg</t>
  </si>
  <si>
    <t>Pack
0.90 T 
(on Epoxy)</t>
  </si>
  <si>
    <t>Pack
0.90 T 
(on PC)</t>
  </si>
  <si>
    <t>Pack
0.90 T 
(powder)</t>
  </si>
  <si>
    <t>Pack  0.90 T (on PC)</t>
  </si>
  <si>
    <t>Pack  0.90 T (on Epoxy)</t>
  </si>
  <si>
    <t>Pack  0.90 T (Powder)</t>
  </si>
  <si>
    <t xml:space="preserve">Pack 0.90 T (OFF Quality) </t>
  </si>
  <si>
    <t>Pack
(OFF Quality) 0.90 T</t>
  </si>
  <si>
    <t>Pack 0.90 T (OFF Metal)</t>
  </si>
  <si>
    <t xml:space="preserve">     -  BPA-Warehouse 900 kg </t>
  </si>
  <si>
    <t xml:space="preserve">     -  BPA-Warehouse 900 kg</t>
  </si>
  <si>
    <t xml:space="preserve">     -  BPA off Metal- 0.90 T</t>
  </si>
  <si>
    <t xml:space="preserve">     -  BPA off QualIty-0.90 T</t>
  </si>
  <si>
    <t>Pack 
(OFF Metal) 0.90 T</t>
  </si>
  <si>
    <t>% Utilization Rate</t>
  </si>
  <si>
    <t>Calendar Day</t>
  </si>
  <si>
    <t>Actual Operating day</t>
  </si>
  <si>
    <t>Budget17</t>
  </si>
  <si>
    <t xml:space="preserve">% Utilization Rate (Budget) </t>
  </si>
  <si>
    <t>Budget BPA Production (T-BPA)</t>
  </si>
  <si>
    <t>Reconcile Yield</t>
  </si>
  <si>
    <t>Budgeted</t>
  </si>
  <si>
    <t>Diff (Actual - Budgeted)</t>
  </si>
  <si>
    <t>BPA PROCESS</t>
  </si>
  <si>
    <t>MT.Phenol Consumption</t>
  </si>
  <si>
    <t>MT.Acetone Consumption</t>
  </si>
  <si>
    <t>MT.BPA Production</t>
  </si>
  <si>
    <t>Beginning WIP BPA Process</t>
  </si>
  <si>
    <t xml:space="preserve">     *** Changed of WIP  BPA process (End - BG)</t>
  </si>
  <si>
    <t>Ending WIP BPA Process</t>
  </si>
  <si>
    <t>1.Yield (Phenol consume / BPA production) ;</t>
  </si>
  <si>
    <t>1.1. Yield (Phenol consume / BPA production)_[Before adj.WIP]</t>
  </si>
  <si>
    <t>1.2. Yield (Phenol consume / BPA production)_[After adj.WIP]</t>
  </si>
  <si>
    <t>2.Yield (Acetone consume / BPA production) ;</t>
  </si>
  <si>
    <t>2.1. Yield (Acetone consume / BPA production)_[Before adj.WIP]</t>
  </si>
  <si>
    <t>2.2. Yield (Acetone consume / BPA production)_[After adj.WIP]</t>
  </si>
  <si>
    <t>OPEX  during Planned S/D</t>
  </si>
  <si>
    <t>Exclude Plannedned Shutdown</t>
  </si>
  <si>
    <t>Planned BPA Production (T-BPA)</t>
  </si>
  <si>
    <t xml:space="preserve">% Utilization Rate (Planned) </t>
  </si>
  <si>
    <t>Actual BPA Production (T-BPA)</t>
  </si>
  <si>
    <t xml:space="preserve">Planed S/D </t>
  </si>
  <si>
    <t>Diff</t>
  </si>
  <si>
    <t>-Allocate to PH1 (kWh)</t>
  </si>
  <si>
    <t>TK-1121 Ending</t>
  </si>
  <si>
    <t>Pack  0.025 T (on PC)</t>
  </si>
  <si>
    <t xml:space="preserve">Pack 0.025 T (OFF Quality) </t>
  </si>
  <si>
    <t>Pack 0.025 T (OFF Metal)</t>
  </si>
  <si>
    <t>Pack 
0.025 T 
(on PC)</t>
  </si>
  <si>
    <t>hold up</t>
  </si>
  <si>
    <t>เพิ่ม</t>
  </si>
  <si>
    <t>ลด</t>
  </si>
  <si>
    <t>phl</t>
  </si>
  <si>
    <t>act</t>
  </si>
  <si>
    <t>jan</t>
  </si>
  <si>
    <t xml:space="preserve">- </t>
  </si>
  <si>
    <t xml:space="preserve"> - </t>
  </si>
  <si>
    <t>MT</t>
  </si>
  <si>
    <t>aug</t>
  </si>
  <si>
    <t>sep</t>
  </si>
  <si>
    <t>oct</t>
  </si>
  <si>
    <t>nov</t>
  </si>
  <si>
    <t>dec</t>
  </si>
  <si>
    <t>%OR Rate of BPA Product</t>
  </si>
  <si>
    <t>mx-mn LV</t>
  </si>
  <si>
    <t>1%LV=MT</t>
  </si>
  <si>
    <t>Accru Dy</t>
  </si>
  <si>
    <t>Act Accru Dy</t>
  </si>
  <si>
    <t>mn</t>
  </si>
  <si>
    <t>Budget 2019</t>
  </si>
  <si>
    <t>Budget19</t>
  </si>
  <si>
    <t xml:space="preserve"> liner truck</t>
  </si>
  <si>
    <t>Sea Bulk truck</t>
  </si>
  <si>
    <t>Truck</t>
  </si>
  <si>
    <t>from truck to bag 850 kg</t>
  </si>
  <si>
    <t>Sale
Silo =&gt;Truck</t>
  </si>
  <si>
    <t>Sec_R=10</t>
  </si>
  <si>
    <t>Sec_R=20</t>
  </si>
  <si>
    <t>Sec_R=30</t>
  </si>
  <si>
    <t>Sec_R=40</t>
  </si>
  <si>
    <t>Sec_R=50</t>
  </si>
  <si>
    <t>Sec_R=60</t>
  </si>
  <si>
    <t xml:space="preserve">K fac diff </t>
  </si>
  <si>
    <t>BPA PLANT PRODUCTION SUMMARY OF YEAR 2019</t>
  </si>
  <si>
    <t>YEAR 2019</t>
  </si>
  <si>
    <t xml:space="preserve">OPEX  during Plan S/D
</t>
  </si>
  <si>
    <t>Ext Factor.Unplanned TD</t>
  </si>
  <si>
    <t>BPA off spec (Q) Color chg</t>
  </si>
  <si>
    <t>Pack   0.90 T Anti Static (on PC)</t>
  </si>
  <si>
    <t>Pack 0.90 T Anti Static (on Epoxy)</t>
  </si>
  <si>
    <t xml:space="preserve">Pack  0.90 T Anti Static(OFF Quality) </t>
  </si>
  <si>
    <t>Pack  0.90 T Anti Static (OFF Metal)</t>
  </si>
  <si>
    <t xml:space="preserve">on 
Epoxy
 900 kg Anti </t>
  </si>
  <si>
    <t xml:space="preserve">quality
 900 kg Anti </t>
  </si>
  <si>
    <t xml:space="preserve">metal
900 kg Anti </t>
  </si>
  <si>
    <t xml:space="preserve">powder
900 kg Anti </t>
  </si>
  <si>
    <t xml:space="preserve">on 
PC
900 kg Anti </t>
  </si>
  <si>
    <t xml:space="preserve">on 
PC
 900 kg </t>
  </si>
  <si>
    <t xml:space="preserve">900 kg Anti </t>
  </si>
  <si>
    <t xml:space="preserve">     -  BPA-Warehouse 900 kg Anti </t>
  </si>
  <si>
    <t xml:space="preserve">     -  BPA off QualIty-0.90 T Anti </t>
  </si>
  <si>
    <t xml:space="preserve">     -  BPA off Metal- 0.90 T Anti </t>
  </si>
  <si>
    <t xml:space="preserve">     -  BPA-Warehouse 500 kg</t>
  </si>
  <si>
    <t xml:space="preserve">     -  BPA off Metal- 0.5 T</t>
  </si>
  <si>
    <t xml:space="preserve">     -  BPA off QualIty-0.5 T</t>
  </si>
  <si>
    <t>on 
Epoxy
500 kg</t>
  </si>
  <si>
    <t>on 
PC
500 kg</t>
  </si>
  <si>
    <t>metal
500 kg</t>
  </si>
  <si>
    <t>powder
500 kg</t>
  </si>
  <si>
    <t>500 kg</t>
  </si>
  <si>
    <t>Upload to SAP</t>
  </si>
  <si>
    <t>on 
PC
25 kg</t>
  </si>
  <si>
    <t>quality
25 kg</t>
  </si>
  <si>
    <t>25 kg</t>
  </si>
  <si>
    <t>on 
Epoxy25 kg</t>
  </si>
  <si>
    <t>Pack  0.5 T (on Epoxy)</t>
  </si>
  <si>
    <t>Pack 
0.5 T 
(on Epoxy)</t>
  </si>
  <si>
    <t xml:space="preserve">     -  BPA (in truck)</t>
  </si>
  <si>
    <t xml:space="preserve">     -  BPA-Warehouse 25 kg</t>
  </si>
  <si>
    <t>Pack  0.5 T (on PC)</t>
  </si>
  <si>
    <t>Pack  0.25 T  (on Epoxy)</t>
  </si>
  <si>
    <t>Pack 
0.025 T 
(on Epoxy)</t>
  </si>
  <si>
    <r>
      <t xml:space="preserve">Budget </t>
    </r>
    <r>
      <rPr>
        <sz val="11"/>
        <color rgb="FF7030A0"/>
        <rFont val="Tahoma"/>
        <family val="2"/>
        <scheme val="minor"/>
      </rPr>
      <t>SD</t>
    </r>
    <r>
      <rPr>
        <b/>
        <sz val="11"/>
        <color rgb="FF7030A0"/>
        <rFont val="Tahoma"/>
        <family val="2"/>
        <scheme val="minor"/>
      </rPr>
      <t xml:space="preserve"> </t>
    </r>
    <r>
      <rPr>
        <b/>
        <u/>
        <sz val="11"/>
        <color rgb="FF7030A0"/>
        <rFont val="Tahoma"/>
        <family val="2"/>
        <scheme val="minor"/>
      </rPr>
      <t>Planned</t>
    </r>
    <r>
      <rPr>
        <u/>
        <sz val="11"/>
        <color rgb="FF7030A0"/>
        <rFont val="Tahoma"/>
        <family val="2"/>
        <scheme val="minor"/>
      </rPr>
      <t/>
    </r>
  </si>
  <si>
    <t>Unplaned S/D</t>
  </si>
  <si>
    <t xml:space="preserve">Cal *factor </t>
  </si>
  <si>
    <t>Calculation sheet of Phenol/Acetone hold-ups for</t>
  </si>
  <si>
    <t>Equipment</t>
  </si>
  <si>
    <t>Level instrument</t>
  </si>
  <si>
    <t xml:space="preserve"> Volume under 0%</t>
  </si>
  <si>
    <t>Volume between the span</t>
  </si>
  <si>
    <t>Liquid Level</t>
  </si>
  <si>
    <t>Liquid Density</t>
  </si>
  <si>
    <t>Liquid hold up</t>
  </si>
  <si>
    <t>Liquid Composition</t>
  </si>
  <si>
    <t>Mass of each component</t>
  </si>
  <si>
    <t>Phenol Holdup</t>
  </si>
  <si>
    <t>Acetone Holdup</t>
  </si>
  <si>
    <t xml:space="preserve">Phenol </t>
  </si>
  <si>
    <t xml:space="preserve">BPA </t>
  </si>
  <si>
    <t>Water</t>
  </si>
  <si>
    <t>Impurity</t>
  </si>
  <si>
    <t>g/cm3</t>
  </si>
  <si>
    <t>wt%</t>
  </si>
  <si>
    <t>TK-1152</t>
  </si>
  <si>
    <t>LI-1111</t>
  </si>
  <si>
    <t>TK-1251</t>
  </si>
  <si>
    <t>LI-1241</t>
  </si>
  <si>
    <t>TK-1351</t>
  </si>
  <si>
    <t>LI-1342</t>
  </si>
  <si>
    <t>TK-1103</t>
  </si>
  <si>
    <t>LC-1122</t>
  </si>
  <si>
    <t>TK-1203</t>
  </si>
  <si>
    <t>LC-1211</t>
  </si>
  <si>
    <t>Q-1301</t>
  </si>
  <si>
    <t>LC-1301</t>
  </si>
  <si>
    <t>Q-1302</t>
  </si>
  <si>
    <t>LC-1311</t>
  </si>
  <si>
    <t>Q-1303</t>
  </si>
  <si>
    <t>LC-1341</t>
  </si>
  <si>
    <t>Q-1304</t>
  </si>
  <si>
    <t>LC-1351</t>
  </si>
  <si>
    <t>TK-1301</t>
  </si>
  <si>
    <t>(Always full)</t>
  </si>
  <si>
    <t>TK-1302</t>
  </si>
  <si>
    <t>TK-1303</t>
  </si>
  <si>
    <t>LC-1321</t>
  </si>
  <si>
    <t>TK-1306</t>
  </si>
  <si>
    <t>TK-1307</t>
  </si>
  <si>
    <t>TK-1308</t>
  </si>
  <si>
    <t>LC-1361</t>
  </si>
  <si>
    <t>TK-1311A</t>
  </si>
  <si>
    <t>LC-1382A</t>
  </si>
  <si>
    <t>TK-1312A</t>
  </si>
  <si>
    <t>LC-1383A</t>
  </si>
  <si>
    <t>TK-1311B</t>
  </si>
  <si>
    <t>LC-1382B</t>
  </si>
  <si>
    <t>TK-1312B</t>
  </si>
  <si>
    <t>LC-1383B</t>
  </si>
  <si>
    <t>N-1304</t>
  </si>
  <si>
    <t>LC-1331</t>
  </si>
  <si>
    <t>N-1310</t>
  </si>
  <si>
    <t>LC-1371</t>
  </si>
  <si>
    <t>N-1313A</t>
  </si>
  <si>
    <t>LC-1381A</t>
  </si>
  <si>
    <t>N-1313B</t>
  </si>
  <si>
    <t>LC-1381B</t>
  </si>
  <si>
    <t>R-1201A</t>
  </si>
  <si>
    <t>R-1201B</t>
  </si>
  <si>
    <t xml:space="preserve"> </t>
  </si>
  <si>
    <t>TK-1402</t>
  </si>
  <si>
    <t>LIC-1401</t>
  </si>
  <si>
    <t>TK-1409</t>
  </si>
  <si>
    <t>LIC-1451</t>
  </si>
  <si>
    <t>TK-1408</t>
  </si>
  <si>
    <t>LIC-1452</t>
  </si>
  <si>
    <t>TK-1102</t>
  </si>
  <si>
    <t>LIC-1101</t>
  </si>
  <si>
    <t>D-1101</t>
  </si>
  <si>
    <t>LIC-1123</t>
  </si>
  <si>
    <t>TK-1105</t>
  </si>
  <si>
    <t>LIC-1124</t>
  </si>
  <si>
    <t>TK-1701</t>
  </si>
  <si>
    <t>LIC-1714</t>
  </si>
  <si>
    <t>N-1501</t>
  </si>
  <si>
    <t>LC-1513</t>
  </si>
  <si>
    <t>TK-1923</t>
  </si>
  <si>
    <t>LI-1923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</si>
</sst>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4">
    <numFmt numFmtId="42" formatCode="_-&quot;฿&quot;* #,##0_-;\-&quot;฿&quot;* #,##0_-;_-&quot;฿&quot;* &quot;-&quot;_-;_-@_-"/>
    <numFmt numFmtId="41" formatCode="_-* #,##0_-;\-* #,##0_-;_-* &quot;-&quot;_-;_-@_-"/>
    <numFmt numFmtId="44" formatCode="_-&quot;฿&quot;* #,##0.00_-;\-&quot;฿&quot;* #,##0.00_-;_-&quot;฿&quot;* &quot;-&quot;??_-;_-@_-"/>
    <numFmt numFmtId="43" formatCode="_-* #,##0.00_-;\-* #,##0.00_-;_-* &quot;-&quot;??_-;_-@_-"/>
    <numFmt numFmtId="187" formatCode="&quot;$&quot;#,##0_);\(&quot;$&quot;#,##0\)"/>
    <numFmt numFmtId="188" formatCode="_(* #,##0_);_(* \(#,##0\);_(* &quot;-&quot;_);_(@_)"/>
    <numFmt numFmtId="189" formatCode="_(* #,##0.00_);_(* \(#,##0.00\);_(* &quot;-&quot;??_);_(@_)"/>
    <numFmt numFmtId="190" formatCode="mmmm\-yy"/>
    <numFmt numFmtId="191" formatCode="0.000"/>
    <numFmt numFmtId="192" formatCode="_-* #,##0.000_-;\-* #,##0.000_-;_-* &quot;-&quot;??_-;_-@_-"/>
    <numFmt numFmtId="193" formatCode="#,##0.000_ ;\-#,##0.000\ "/>
    <numFmt numFmtId="194" formatCode="#,##0.000"/>
    <numFmt numFmtId="195" formatCode="_(* #,##0.000_);_(* \(#,##0.000\);_(* &quot;-&quot;??_);_(@_)"/>
    <numFmt numFmtId="196" formatCode="_(* #,##0.000_);_(* \(#,##0.000\);_(* &quot;-&quot;???_);_(@_)"/>
    <numFmt numFmtId="197" formatCode="_-* #,##0_-;\-* #,##0_-;_-* &quot;-&quot;??_-;_-@_-"/>
    <numFmt numFmtId="198" formatCode="#,##0_ ;\-#,##0\ "/>
    <numFmt numFmtId="199" formatCode="_(* #,##0_);_(* \(#,##0\);_(* &quot;-&quot;??_);_(@_)"/>
    <numFmt numFmtId="200" formatCode="[$-409]mmm/yy;@"/>
    <numFmt numFmtId="201" formatCode="[$-409]mmm\-yy;@"/>
    <numFmt numFmtId="202" formatCode="0.0"/>
    <numFmt numFmtId="203" formatCode="[$-409]d\-mmm\-yy;@"/>
    <numFmt numFmtId="204" formatCode="0.0000"/>
    <numFmt numFmtId="205" formatCode="dd\-mmm\-yy\ hh:mm:ss"/>
    <numFmt numFmtId="206" formatCode="#,##0.0"/>
    <numFmt numFmtId="207" formatCode="[$-409]dd/mmm/yy;@"/>
    <numFmt numFmtId="208" formatCode="#,##0.000_);\(#,##0.000\)"/>
    <numFmt numFmtId="209" formatCode="mmmm"/>
    <numFmt numFmtId="210" formatCode="[$-409]dd\-mmm\-yy;@"/>
    <numFmt numFmtId="211" formatCode="_(* #,##0.0_);_(* \(#,##0.0\);_(* &quot;-&quot;??_);_(@_)"/>
    <numFmt numFmtId="212" formatCode="[$-409]mmmm/yy;@"/>
    <numFmt numFmtId="213" formatCode="mmm"/>
    <numFmt numFmtId="214" formatCode="[$-409]d/mmm/yy;@"/>
    <numFmt numFmtId="215" formatCode="_(* #,##0.0000_);_(* \(#,##0.0000\);_(* &quot;-&quot;??_);_(@_)"/>
    <numFmt numFmtId="216" formatCode="0.0%"/>
    <numFmt numFmtId="217" formatCode="[h]:mm"/>
    <numFmt numFmtId="218" formatCode="_-* #,##0.0_-;\-* #,##0.0_-;_-* &quot;-&quot;??_-;_-@_-"/>
    <numFmt numFmtId="219" formatCode="dd/mmm/yy\ hh:mm:ss"/>
    <numFmt numFmtId="220" formatCode="#,##0.0;\-#,##0.0"/>
    <numFmt numFmtId="221" formatCode="#,##0.000;\-#,##0.000"/>
    <numFmt numFmtId="222" formatCode="_-&quot;$&quot;* #,##0_-;\-&quot;$&quot;* #,##0_-;_-&quot;$&quot;* &quot;-&quot;_-;_-@_-"/>
    <numFmt numFmtId="223" formatCode="_-&quot;$&quot;* #,##0.00_-;\-&quot;$&quot;* #,##0.00_-;_-&quot;$&quot;* &quot;-&quot;??_-;_-@_-"/>
    <numFmt numFmtId="224" formatCode="#,##0\ "/>
    <numFmt numFmtId="225" formatCode="#,##0&quot;bar&quot;"/>
    <numFmt numFmtId="226" formatCode="General_)"/>
    <numFmt numFmtId="227" formatCode="0.0000000000"/>
    <numFmt numFmtId="228" formatCode="&quot;?#,##0;[Red]\-&quot;?#,##0"/>
    <numFmt numFmtId="229" formatCode="&quot;L.&quot;\ #,##0;[Red]\-&quot;L.&quot;\ #,##0"/>
    <numFmt numFmtId="230" formatCode="_ * #,##0_ ;_ * \-#,##0_ ;_ * &quot;-&quot;_ ;_ @_ "/>
    <numFmt numFmtId="231" formatCode="_ * #,##0.00_ ;_ * \-#,##0.00_ ;_ * &quot;-&quot;??_ ;_ @_ "/>
    <numFmt numFmtId="232" formatCode="_ &quot;\&quot;* #,##0_ ;_ &quot;\&quot;* \-#,##0_ ;_ &quot;\&quot;* &quot;-&quot;_ ;_ @_ "/>
    <numFmt numFmtId="233" formatCode="_ &quot;\&quot;* #,##0.00_ ;_ &quot;\&quot;* \-#,##0.00_ ;_ &quot;\&quot;* &quot;-&quot;??_ ;_ @_ "/>
    <numFmt numFmtId="234" formatCode="&quot;\&quot;#,##0.00;[Red]&quot;\&quot;\-#,##0.00"/>
    <numFmt numFmtId="235" formatCode="&quot;\&quot;#,##0;[Red]\-&quot;\&quot;#,##0"/>
    <numFmt numFmtId="236" formatCode="m/d/yy\ h:mm;@"/>
    <numFmt numFmtId="237" formatCode="[$-409]m/d/yy\ h:mm\ AM/PM;@"/>
    <numFmt numFmtId="238" formatCode="dd/mm/yy\ "/>
    <numFmt numFmtId="239" formatCode="#,##0.00_ ;\-#,##0.00\ "/>
    <numFmt numFmtId="240" formatCode="_-* #,##0.0000_-;\-* #,##0.0000_-;_-* &quot;-&quot;??_-;_-@_-"/>
    <numFmt numFmtId="241" formatCode="_(* #,##0.0000000_);_(* \(#,##0.0000000\);_(* &quot;-&quot;??_);_(@_)"/>
    <numFmt numFmtId="242" formatCode="dd\/mm\/yy\ hh:mm:ss"/>
    <numFmt numFmtId="243" formatCode="dd\-mm\-yy"/>
    <numFmt numFmtId="244" formatCode="h:mm;@"/>
    <numFmt numFmtId="245" formatCode="[$-F400]h:mm:ss\ AM/PM"/>
    <numFmt numFmtId="246" formatCode="dd/mm/yy;@"/>
    <numFmt numFmtId="247" formatCode="#,##0.000;\(#,##0.000\)"/>
    <numFmt numFmtId="248" formatCode="#,##0.00&quot;£&quot;_);\(#,##0.00&quot;£&quot;\)"/>
    <numFmt numFmtId="249" formatCode="0.000_)"/>
    <numFmt numFmtId="250" formatCode="_-* #,##0\ _F_-;\-* #,##0\ _F_-;_-* &quot;-&quot;\ _F_-;_-@_-"/>
    <numFmt numFmtId="251" formatCode="_-* #,##0.00\ _F_-;\-* #,##0.00\ _F_-;_-* &quot;-&quot;??\ _F_-;_-@_-"/>
    <numFmt numFmtId="252" formatCode="_-* #,##0\ &quot;F&quot;_-;\-* #,##0\ &quot;F&quot;_-;_-* &quot;-&quot;\ &quot;F&quot;_-;_-@_-"/>
    <numFmt numFmtId="253" formatCode="_-* #,##0.00\ &quot;F&quot;_-;\-* #,##0.00\ &quot;F&quot;_-;_-* &quot;-&quot;??\ &quot;F&quot;_-;_-@_-"/>
    <numFmt numFmtId="254" formatCode="[&lt;=99999999][$-1000000]0\-####\-####;[$-1000000]#\-####\-####"/>
    <numFmt numFmtId="255" formatCode="[$-409]mmmm\-yy;@"/>
    <numFmt numFmtId="256" formatCode="0.000000"/>
    <numFmt numFmtId="257" formatCode="[$-409]mmm"/>
    <numFmt numFmtId="258" formatCode="0.00000"/>
    <numFmt numFmtId="259" formatCode="0.000%"/>
    <numFmt numFmtId="260" formatCode="_-* #,##0.000_-;\-* #,##0.000_-;_-* &quot;-&quot;???_-;_-@_-"/>
    <numFmt numFmtId="261" formatCode="#,##0.0000_ ;\-#,##0.0000\ "/>
    <numFmt numFmtId="262" formatCode="0.00_ "/>
    <numFmt numFmtId="263" formatCode="0.000_);[Red]\(0.000\)"/>
    <numFmt numFmtId="264" formatCode="0.00_);[Red]\(0.00\)"/>
    <numFmt numFmtId="265" formatCode="0.0_ "/>
    <numFmt numFmtId="266" formatCode="0.000_ "/>
  </numFmts>
  <fonts count="332">
    <font>
      <sz val="11"/>
      <color theme="1"/>
      <name val="Calibri"/>
      <family val="2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  <font>
      <sz val="11"/>
      <color theme="1"/>
      <name val="Calibri"/>
      <family val="2"/>
    </font>
    <font>
      <b/>
      <sz val="18"/>
      <name val="Calibri"/>
      <family val="2"/>
    </font>
    <font>
      <sz val="12"/>
      <color theme="1"/>
      <name val="Calibri"/>
      <family val="2"/>
    </font>
    <font>
      <b/>
      <sz val="14"/>
      <name val="Calibri"/>
      <family val="2"/>
    </font>
    <font>
      <sz val="14"/>
      <name val="Calibri"/>
      <family val="2"/>
    </font>
    <font>
      <b/>
      <sz val="12"/>
      <name val="Calibri"/>
      <family val="2"/>
    </font>
    <font>
      <b/>
      <sz val="12"/>
      <color theme="1"/>
      <name val="Calibri"/>
      <family val="2"/>
    </font>
    <font>
      <sz val="12"/>
      <name val="Calibri"/>
      <family val="2"/>
    </font>
    <font>
      <sz val="11"/>
      <color indexed="8"/>
      <name val="Calibri"/>
      <family val="2"/>
    </font>
    <font>
      <sz val="12"/>
      <name val="Tahoma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6"/>
      <name val="Angsana New"/>
      <family val="1"/>
    </font>
    <font>
      <sz val="10"/>
      <name val="Tahoma"/>
      <family val="2"/>
      <scheme val="minor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sz val="12"/>
      <color indexed="81"/>
      <name val="Tahoma"/>
      <family val="2"/>
    </font>
    <font>
      <b/>
      <sz val="18"/>
      <color theme="1"/>
      <name val="Tahoma"/>
      <family val="2"/>
      <scheme val="minor"/>
    </font>
    <font>
      <b/>
      <sz val="11"/>
      <color rgb="FFFF0000"/>
      <name val="Tahoma"/>
      <family val="2"/>
      <scheme val="minor"/>
    </font>
    <font>
      <b/>
      <u/>
      <sz val="14"/>
      <color theme="1"/>
      <name val="Tahoma"/>
      <family val="2"/>
      <scheme val="minor"/>
    </font>
    <font>
      <b/>
      <u/>
      <sz val="11"/>
      <color theme="1"/>
      <name val="Tahoma"/>
      <family val="2"/>
      <scheme val="minor"/>
    </font>
    <font>
      <b/>
      <sz val="11"/>
      <name val="Tahoma"/>
      <family val="2"/>
      <scheme val="minor"/>
    </font>
    <font>
      <sz val="11"/>
      <name val="Tahoma"/>
      <family val="2"/>
      <scheme val="minor"/>
    </font>
    <font>
      <sz val="11"/>
      <color rgb="FF0070C0"/>
      <name val="Tahoma"/>
      <family val="2"/>
      <scheme val="minor"/>
    </font>
    <font>
      <sz val="11"/>
      <name val="ＭＳ Ｐゴシック"/>
      <family val="3"/>
      <charset val="128"/>
    </font>
    <font>
      <sz val="11"/>
      <color rgb="FFFFFFFF"/>
      <name val="Calibri"/>
      <family val="2"/>
    </font>
    <font>
      <sz val="11"/>
      <name val="Calibri"/>
      <family val="2"/>
    </font>
    <font>
      <b/>
      <sz val="11"/>
      <color indexed="8"/>
      <name val="Calibri"/>
      <family val="2"/>
    </font>
    <font>
      <b/>
      <u/>
      <sz val="11"/>
      <color indexed="8"/>
      <name val="Calibri"/>
      <family val="2"/>
    </font>
    <font>
      <b/>
      <sz val="11"/>
      <color theme="1"/>
      <name val="Calibri"/>
      <family val="2"/>
    </font>
    <font>
      <u/>
      <sz val="8.8000000000000007"/>
      <color theme="10"/>
      <name val="Calibri"/>
      <family val="2"/>
    </font>
    <font>
      <b/>
      <sz val="8.8000000000000007"/>
      <color theme="10"/>
      <name val="Calibri"/>
      <family val="2"/>
    </font>
    <font>
      <sz val="8.8000000000000007"/>
      <color theme="10"/>
      <name val="Calibri"/>
      <family val="2"/>
    </font>
    <font>
      <sz val="11"/>
      <color rgb="FF3333CC"/>
      <name val="Tahoma"/>
      <family val="2"/>
      <scheme val="minor"/>
    </font>
    <font>
      <sz val="11"/>
      <color rgb="FF3333CC"/>
      <name val="Calibri"/>
      <family val="2"/>
    </font>
    <font>
      <sz val="9"/>
      <name val="Tahoma"/>
      <family val="2"/>
      <scheme val="minor"/>
    </font>
    <font>
      <sz val="11"/>
      <color theme="1"/>
      <name val="Tahoma"/>
      <family val="2"/>
    </font>
    <font>
      <sz val="12"/>
      <color theme="1"/>
      <name val="Tahoma"/>
      <family val="2"/>
    </font>
    <font>
      <sz val="11"/>
      <color rgb="FF000000"/>
      <name val="Calibri"/>
      <family val="2"/>
    </font>
    <font>
      <sz val="11"/>
      <color rgb="FF0000CC"/>
      <name val="Calibri"/>
      <family val="2"/>
    </font>
    <font>
      <sz val="10"/>
      <color rgb="FF000000"/>
      <name val="Tahoma"/>
      <family val="2"/>
    </font>
    <font>
      <sz val="11"/>
      <color rgb="FFFF0000"/>
      <name val="Calibri"/>
      <family val="2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12"/>
      <name val="Geneva"/>
      <family val="2"/>
    </font>
    <font>
      <sz val="10"/>
      <name val="Times New Roman"/>
      <family val="1"/>
    </font>
    <font>
      <sz val="14"/>
      <name val="Cordia New"/>
      <family val="2"/>
    </font>
    <font>
      <sz val="14"/>
      <name val="ＭＳ 明朝"/>
      <family val="1"/>
      <charset val="128"/>
    </font>
    <font>
      <b/>
      <sz val="14"/>
      <color indexed="8"/>
      <name val="Calibri"/>
      <family val="2"/>
    </font>
    <font>
      <b/>
      <sz val="10"/>
      <name val="Times New Roman"/>
      <family val="1"/>
    </font>
    <font>
      <b/>
      <sz val="11"/>
      <name val="Times New Roman"/>
      <family val="1"/>
    </font>
    <font>
      <sz val="9"/>
      <name val="Times New Roman"/>
      <family val="1"/>
    </font>
    <font>
      <sz val="8"/>
      <name val="Arial"/>
      <family val="2"/>
    </font>
    <font>
      <b/>
      <sz val="9"/>
      <name val="Times New Roman"/>
      <family val="1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b/>
      <u/>
      <sz val="10"/>
      <color indexed="10"/>
      <name val="Arial"/>
      <family val="2"/>
    </font>
    <font>
      <sz val="10"/>
      <color rgb="FFFF0000"/>
      <name val="Arial"/>
      <family val="2"/>
    </font>
    <font>
      <sz val="9"/>
      <color theme="1"/>
      <name val="Calibri"/>
      <family val="2"/>
    </font>
    <font>
      <b/>
      <sz val="9"/>
      <color theme="1"/>
      <name val="Calibri"/>
      <family val="2"/>
    </font>
    <font>
      <b/>
      <sz val="16"/>
      <color theme="0"/>
      <name val="Calibri"/>
      <family val="2"/>
    </font>
    <font>
      <sz val="9"/>
      <name val="Calibri"/>
      <family val="2"/>
    </font>
    <font>
      <sz val="9"/>
      <color rgb="FFC00000"/>
      <name val="Calibri"/>
      <family val="2"/>
    </font>
    <font>
      <sz val="11"/>
      <color rgb="FFC00000"/>
      <name val="Calibri"/>
      <family val="2"/>
    </font>
    <font>
      <sz val="11"/>
      <color theme="0"/>
      <name val="Calibri"/>
      <family val="2"/>
    </font>
    <font>
      <b/>
      <sz val="9"/>
      <color rgb="FFC00000"/>
      <name val="Calibri"/>
      <family val="2"/>
    </font>
    <font>
      <sz val="12"/>
      <name val="Symbol"/>
      <family val="1"/>
      <charset val="2"/>
    </font>
    <font>
      <sz val="11"/>
      <color theme="0" tint="-0.14999847407452621"/>
      <name val="Tahoma"/>
      <family val="2"/>
      <scheme val="minor"/>
    </font>
    <font>
      <sz val="11"/>
      <color rgb="FFFFC000"/>
      <name val="Calibri"/>
      <family val="2"/>
    </font>
    <font>
      <sz val="14"/>
      <color rgb="FFFFC000"/>
      <name val="Calibri"/>
      <family val="2"/>
    </font>
    <font>
      <sz val="14"/>
      <color rgb="FF92D050"/>
      <name val="Calibri"/>
      <family val="2"/>
    </font>
    <font>
      <sz val="12"/>
      <color rgb="FFFFC000"/>
      <name val="Calibri"/>
      <family val="2"/>
    </font>
    <font>
      <sz val="10"/>
      <name val="Calibri"/>
      <family val="2"/>
    </font>
    <font>
      <sz val="8"/>
      <color indexed="81"/>
      <name val="Calibri"/>
      <family val="2"/>
    </font>
    <font>
      <sz val="6.8"/>
      <color indexed="81"/>
      <name val="Tahoma"/>
      <family val="2"/>
    </font>
    <font>
      <sz val="8"/>
      <color theme="1"/>
      <name val="Calibri"/>
      <family val="2"/>
    </font>
    <font>
      <sz val="8"/>
      <color rgb="FFC00000"/>
      <name val="Calibri"/>
      <family val="2"/>
    </font>
    <font>
      <sz val="8"/>
      <name val="Calibri"/>
      <family val="2"/>
    </font>
    <font>
      <b/>
      <sz val="14"/>
      <color rgb="FF0070C0"/>
      <name val="Calibri"/>
      <family val="2"/>
    </font>
    <font>
      <b/>
      <sz val="10"/>
      <color rgb="FF000000"/>
      <name val="Tahoma"/>
      <family val="2"/>
      <scheme val="major"/>
    </font>
    <font>
      <sz val="10"/>
      <color rgb="FF000000"/>
      <name val="Tahoma"/>
      <family val="2"/>
      <scheme val="major"/>
    </font>
    <font>
      <b/>
      <sz val="10"/>
      <color theme="1"/>
      <name val="Tahoma"/>
      <family val="2"/>
      <scheme val="major"/>
    </font>
    <font>
      <sz val="10"/>
      <color theme="1"/>
      <name val="Tahoma"/>
      <family val="2"/>
      <scheme val="major"/>
    </font>
    <font>
      <sz val="8"/>
      <color theme="1"/>
      <name val="Tahoma"/>
      <family val="2"/>
      <scheme val="minor"/>
    </font>
    <font>
      <sz val="9"/>
      <color theme="1"/>
      <name val="Tahoma"/>
      <family val="2"/>
      <scheme val="minor"/>
    </font>
    <font>
      <b/>
      <sz val="9"/>
      <color theme="1"/>
      <name val="Tahoma"/>
      <family val="2"/>
      <scheme val="minor"/>
    </font>
    <font>
      <b/>
      <sz val="8"/>
      <color theme="1"/>
      <name val="Tahoma"/>
      <family val="2"/>
      <scheme val="minor"/>
    </font>
    <font>
      <sz val="8"/>
      <color rgb="FFFF0000"/>
      <name val="Tahoma"/>
      <family val="2"/>
      <scheme val="minor"/>
    </font>
    <font>
      <sz val="8"/>
      <name val="Tahoma"/>
      <family val="2"/>
      <scheme val="minor"/>
    </font>
    <font>
      <b/>
      <sz val="12"/>
      <color rgb="FFFF0000"/>
      <name val="Calibri"/>
      <family val="2"/>
    </font>
    <font>
      <sz val="11"/>
      <color theme="7" tint="-0.249977111117893"/>
      <name val="Tahoma"/>
      <family val="2"/>
      <scheme val="minor"/>
    </font>
    <font>
      <sz val="11"/>
      <color theme="7" tint="-0.249977111117893"/>
      <name val="Calibri"/>
      <family val="2"/>
    </font>
    <font>
      <sz val="12"/>
      <color rgb="FFFF0000"/>
      <name val="Calibri"/>
      <family val="2"/>
    </font>
    <font>
      <sz val="12"/>
      <color rgb="FF0070C0"/>
      <name val="Calibri"/>
      <family val="2"/>
    </font>
    <font>
      <b/>
      <sz val="12"/>
      <color indexed="81"/>
      <name val="Tahoma"/>
      <family val="2"/>
    </font>
    <font>
      <sz val="10"/>
      <color theme="1"/>
      <name val="Tahoma"/>
      <family val="2"/>
      <scheme val="minor"/>
    </font>
    <font>
      <sz val="11"/>
      <color rgb="FF00B050"/>
      <name val="Calibri"/>
      <family val="2"/>
    </font>
    <font>
      <b/>
      <sz val="9"/>
      <color indexed="81"/>
      <name val="Tahoma"/>
      <family val="2"/>
    </font>
    <font>
      <sz val="10"/>
      <color theme="0" tint="-0.34998626667073579"/>
      <name val="Tahoma"/>
      <family val="2"/>
      <scheme val="major"/>
    </font>
    <font>
      <sz val="8"/>
      <color theme="0" tint="-0.34998626667073579"/>
      <name val="Tahoma"/>
      <family val="2"/>
      <scheme val="minor"/>
    </font>
    <font>
      <sz val="9"/>
      <color theme="0" tint="-0.34998626667073579"/>
      <name val="Tahoma"/>
      <family val="2"/>
      <scheme val="minor"/>
    </font>
    <font>
      <sz val="9"/>
      <color rgb="FFFF0000"/>
      <name val="Tahoma"/>
      <family val="2"/>
      <scheme val="minor"/>
    </font>
    <font>
      <sz val="11"/>
      <name val="Arial"/>
      <family val="2"/>
    </font>
    <font>
      <sz val="9"/>
      <color indexed="81"/>
      <name val="Tahoma"/>
      <family val="2"/>
    </font>
    <font>
      <b/>
      <u/>
      <sz val="14"/>
      <color rgb="FFCC0099"/>
      <name val="Tahoma"/>
      <family val="2"/>
      <scheme val="minor"/>
    </font>
    <font>
      <b/>
      <sz val="12"/>
      <color rgb="FFCC0099"/>
      <name val="Calibri"/>
      <family val="2"/>
    </font>
    <font>
      <sz val="12"/>
      <name val="新細明體"/>
      <family val="1"/>
      <charset val="136"/>
    </font>
    <font>
      <sz val="6"/>
      <name val="Arial"/>
      <family val="2"/>
    </font>
    <font>
      <sz val="10"/>
      <name val=" "/>
      <family val="1"/>
      <charset val="136"/>
    </font>
    <font>
      <sz val="10"/>
      <name val="Helv"/>
      <family val="2"/>
    </font>
    <font>
      <sz val="12"/>
      <name val="Times New Roman"/>
      <family val="1"/>
    </font>
    <font>
      <u/>
      <sz val="12"/>
      <color indexed="12"/>
      <name val="·s²Ó©úÅé"/>
      <family val="1"/>
    </font>
    <font>
      <sz val="11"/>
      <name val="¾©"/>
      <family val="1"/>
      <charset val="128"/>
    </font>
    <font>
      <sz val="12"/>
      <color indexed="8"/>
      <name val="新細明體"/>
      <family val="1"/>
      <charset val="136"/>
    </font>
    <font>
      <sz val="12"/>
      <name val="¥þ¯u·¢®Ñ"/>
      <family val="1"/>
    </font>
    <font>
      <sz val="12"/>
      <color indexed="9"/>
      <name val="新細明體"/>
      <family val="1"/>
      <charset val="136"/>
    </font>
    <font>
      <b/>
      <sz val="8"/>
      <name val="Arial"/>
      <family val="2"/>
    </font>
    <font>
      <sz val="11"/>
      <color theme="1"/>
      <name val="Tahoma"/>
      <family val="2"/>
      <charset val="222"/>
      <scheme val="minor"/>
    </font>
    <font>
      <sz val="14"/>
      <name val="Angsana New"/>
      <family val="1"/>
    </font>
    <font>
      <sz val="12"/>
      <name val="바탕체"/>
      <family val="3"/>
      <charset val="129"/>
    </font>
    <font>
      <sz val="8"/>
      <name val="Courier"/>
      <family val="3"/>
    </font>
    <font>
      <sz val="9"/>
      <name val="Arial"/>
      <family val="2"/>
    </font>
    <font>
      <sz val="8"/>
      <name val="仿宋体"/>
      <family val="3"/>
      <charset val="136"/>
    </font>
    <font>
      <b/>
      <sz val="12"/>
      <name val="Arial"/>
      <family val="2"/>
    </font>
    <font>
      <sz val="14"/>
      <name val="黑体"/>
      <family val="3"/>
      <charset val="136"/>
    </font>
    <font>
      <u/>
      <sz val="14"/>
      <color indexed="12"/>
      <name val="Cordia New"/>
      <family val="2"/>
    </font>
    <font>
      <u/>
      <sz val="12"/>
      <color indexed="12"/>
      <name val="新細明體"/>
      <family val="1"/>
      <charset val="136"/>
    </font>
    <font>
      <u/>
      <sz val="10"/>
      <color indexed="12"/>
      <name val="Arial"/>
      <family val="2"/>
    </font>
    <font>
      <sz val="10"/>
      <name val="MS Sans Serif"/>
      <family val="2"/>
    </font>
    <font>
      <sz val="8"/>
      <name val="宋体"/>
      <family val="3"/>
      <charset val="136"/>
    </font>
    <font>
      <sz val="12"/>
      <name val="Arial"/>
      <family val="2"/>
    </font>
    <font>
      <sz val="11"/>
      <color indexed="8"/>
      <name val="Calibri"/>
      <family val="2"/>
      <charset val="222"/>
    </font>
    <font>
      <b/>
      <sz val="10"/>
      <name val="MS Sans Serif"/>
      <family val="2"/>
    </font>
    <font>
      <sz val="10"/>
      <name val="Courier New"/>
      <family val="3"/>
    </font>
    <font>
      <sz val="12"/>
      <color indexed="26"/>
      <name val="Arial"/>
      <family val="2"/>
    </font>
    <font>
      <sz val="10"/>
      <name val=" "/>
      <family val="1"/>
      <charset val="136"/>
    </font>
    <font>
      <sz val="14"/>
      <name val=" "/>
      <family val="1"/>
      <charset val="136"/>
    </font>
    <font>
      <u/>
      <sz val="10.199999999999999"/>
      <color indexed="36"/>
      <name val="Arial MT"/>
      <family val="2"/>
    </font>
    <font>
      <sz val="12"/>
      <name val="뼻뮝"/>
      <family val="3"/>
      <charset val="129"/>
    </font>
    <font>
      <u/>
      <sz val="10.199999999999999"/>
      <color indexed="12"/>
      <name val="Arial MT"/>
      <family val="2"/>
    </font>
    <font>
      <sz val="12"/>
      <name val="細明朝体"/>
      <family val="3"/>
      <charset val="128"/>
    </font>
    <font>
      <sz val="12"/>
      <color indexed="60"/>
      <name val="新細明體"/>
      <family val="1"/>
      <charset val="136"/>
    </font>
    <font>
      <b/>
      <sz val="12"/>
      <color indexed="8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indexed="17"/>
      <name val="新細明體"/>
      <family val="1"/>
      <charset val="136"/>
    </font>
    <font>
      <sz val="12"/>
      <name val="夥鰻羹"/>
      <family val="1"/>
      <charset val="136"/>
    </font>
    <font>
      <sz val="11"/>
      <name val="昒? ?嫛???"/>
      <family val="3"/>
      <charset val="136"/>
    </font>
    <font>
      <sz val="12"/>
      <name val="Helv"/>
      <family val="2"/>
    </font>
    <font>
      <sz val="14"/>
      <name val="俵俽 柧挬"/>
      <family val="3"/>
      <charset val="136"/>
    </font>
    <font>
      <sz val="11"/>
      <name val="ＭＳ Ｐゴシック"/>
      <family val="2"/>
      <charset val="128"/>
    </font>
    <font>
      <sz val="11"/>
      <name val="ＭＳ Ｐ明朝"/>
      <family val="1"/>
      <charset val="128"/>
    </font>
    <font>
      <b/>
      <sz val="18"/>
      <color indexed="56"/>
      <name val="新細明體"/>
      <family val="1"/>
      <charset val="136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sz val="14"/>
      <name val="昒? 瀡?"/>
      <family val="3"/>
      <charset val="136"/>
    </font>
    <font>
      <sz val="12"/>
      <name val="官帕眉"/>
      <family val="3"/>
      <charset val="136"/>
    </font>
    <font>
      <b/>
      <sz val="12"/>
      <color indexed="52"/>
      <name val="新細明體"/>
      <family val="1"/>
      <charset val="136"/>
    </font>
    <font>
      <i/>
      <sz val="12"/>
      <color indexed="23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2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sz val="12"/>
      <color indexed="52"/>
      <name val="新細明體"/>
      <family val="1"/>
      <charset val="136"/>
    </font>
    <font>
      <sz val="10"/>
      <name val="奔覆眉"/>
      <family val="3"/>
      <charset val="136"/>
    </font>
    <font>
      <b/>
      <u val="singleAccounting"/>
      <sz val="11"/>
      <name val="Calibri"/>
      <family val="2"/>
    </font>
    <font>
      <sz val="11"/>
      <color rgb="FFCC0099"/>
      <name val="Calibri"/>
      <family val="2"/>
    </font>
    <font>
      <b/>
      <sz val="11"/>
      <color rgb="FF0000FF"/>
      <name val="Calibri"/>
      <family val="2"/>
    </font>
    <font>
      <sz val="11"/>
      <color rgb="FF0000FF"/>
      <name val="Calibri"/>
      <family val="2"/>
    </font>
    <font>
      <sz val="9"/>
      <color rgb="FF0000FF"/>
      <name val="Calibri"/>
      <family val="2"/>
    </font>
    <font>
      <sz val="9"/>
      <color rgb="FFFF0000"/>
      <name val="Calibri"/>
      <family val="2"/>
    </font>
    <font>
      <sz val="11"/>
      <color rgb="FF0000FF"/>
      <name val="Tahoma"/>
      <family val="2"/>
      <scheme val="minor"/>
    </font>
    <font>
      <b/>
      <sz val="10"/>
      <color rgb="FFFF0000"/>
      <name val="Arial"/>
      <family val="2"/>
    </font>
    <font>
      <b/>
      <sz val="9"/>
      <name val="Calibri"/>
      <family val="2"/>
    </font>
    <font>
      <b/>
      <sz val="14"/>
      <color rgb="FF0000FF"/>
      <name val="Calibri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8"/>
      <color rgb="FFFF0000"/>
      <name val="Arial"/>
      <family val="2"/>
    </font>
    <font>
      <b/>
      <sz val="10"/>
      <color theme="1"/>
      <name val="Arial"/>
      <family val="2"/>
    </font>
    <font>
      <sz val="12"/>
      <color rgb="FFCC0099"/>
      <name val="Calibri"/>
      <family val="2"/>
    </font>
    <font>
      <sz val="11"/>
      <color rgb="FF0066CC"/>
      <name val="Tahoma"/>
      <family val="2"/>
      <scheme val="minor"/>
    </font>
    <font>
      <sz val="16"/>
      <color rgb="FFFF0000"/>
      <name val="Calibri"/>
      <family val="2"/>
    </font>
    <font>
      <b/>
      <sz val="12"/>
      <color rgb="FF0000FF"/>
      <name val="Calibri"/>
      <family val="2"/>
    </font>
    <font>
      <b/>
      <sz val="11"/>
      <color rgb="FF0000FF"/>
      <name val="Tahoma"/>
      <family val="2"/>
      <scheme val="minor"/>
    </font>
    <font>
      <sz val="12"/>
      <color rgb="FF0000FF"/>
      <name val="Calibri"/>
      <family val="2"/>
    </font>
    <font>
      <sz val="12"/>
      <color rgb="FF0000FF"/>
      <name val="Tahoma"/>
      <family val="2"/>
      <scheme val="minor"/>
    </font>
    <font>
      <sz val="14"/>
      <color rgb="FFCC0099"/>
      <name val="Calibri"/>
      <family val="2"/>
    </font>
    <font>
      <sz val="12"/>
      <color rgb="FFCC0099"/>
      <name val="Tahoma"/>
      <family val="2"/>
      <scheme val="minor"/>
    </font>
    <font>
      <sz val="11"/>
      <color rgb="FFC00000"/>
      <name val="Tahoma"/>
      <family val="2"/>
      <scheme val="minor"/>
    </font>
    <font>
      <sz val="14"/>
      <color theme="0" tint="-0.14999847407452621"/>
      <name val="Tahoma"/>
      <family val="2"/>
      <scheme val="minor"/>
    </font>
    <font>
      <sz val="11"/>
      <color rgb="FF009900"/>
      <name val="Tahoma"/>
      <family val="2"/>
      <scheme val="minor"/>
    </font>
    <font>
      <sz val="11"/>
      <color theme="9" tint="-0.249977111117893"/>
      <name val="Tahoma"/>
      <family val="2"/>
      <scheme val="minor"/>
    </font>
    <font>
      <b/>
      <sz val="10"/>
      <color rgb="FF0000FF"/>
      <name val="Arial"/>
      <family val="2"/>
    </font>
    <font>
      <sz val="12"/>
      <color rgb="FFFF0000"/>
      <name val="Tahoma"/>
      <family val="2"/>
      <scheme val="minor"/>
    </font>
    <font>
      <b/>
      <sz val="8"/>
      <color rgb="FFFF0000"/>
      <name val="Arial"/>
      <family val="2"/>
    </font>
    <font>
      <sz val="10"/>
      <color rgb="FF003399"/>
      <name val="Tahoma"/>
      <family val="2"/>
      <scheme val="minor"/>
    </font>
    <font>
      <sz val="11"/>
      <color rgb="FF003399"/>
      <name val="Calibri"/>
      <family val="2"/>
    </font>
    <font>
      <b/>
      <sz val="11"/>
      <color rgb="FFC00000"/>
      <name val="Calibri"/>
      <family val="2"/>
    </font>
    <font>
      <sz val="8"/>
      <color rgb="FFCC0099"/>
      <name val="Calibri"/>
      <family val="2"/>
    </font>
    <font>
      <b/>
      <sz val="12"/>
      <color rgb="FF006600"/>
      <name val="Calibri"/>
      <family val="2"/>
    </font>
    <font>
      <b/>
      <sz val="12"/>
      <name val="Tahoma"/>
      <family val="2"/>
      <scheme val="minor"/>
    </font>
    <font>
      <b/>
      <sz val="14"/>
      <color theme="1"/>
      <name val="Tahoma"/>
      <family val="2"/>
      <scheme val="minor"/>
    </font>
    <font>
      <sz val="14"/>
      <color theme="1"/>
      <name val="Tahoma"/>
      <family val="2"/>
      <scheme val="minor"/>
    </font>
    <font>
      <b/>
      <sz val="14"/>
      <color theme="1" tint="4.9989318521683403E-2"/>
      <name val="Tahoma"/>
      <family val="2"/>
      <scheme val="minor"/>
    </font>
    <font>
      <sz val="9"/>
      <color theme="0"/>
      <name val="Tahoma"/>
      <family val="2"/>
      <scheme val="minor"/>
    </font>
    <font>
      <b/>
      <sz val="8"/>
      <color rgb="FFFF0000"/>
      <name val="Tahoma"/>
      <family val="2"/>
      <scheme val="minor"/>
    </font>
    <font>
      <b/>
      <sz val="14"/>
      <color theme="1"/>
      <name val="Calibri"/>
      <family val="2"/>
    </font>
    <font>
      <b/>
      <sz val="10"/>
      <color theme="1"/>
      <name val="Calibri"/>
      <family val="2"/>
    </font>
    <font>
      <b/>
      <sz val="11"/>
      <color rgb="FFC00000"/>
      <name val="Tahoma"/>
      <family val="2"/>
      <scheme val="minor"/>
    </font>
    <font>
      <b/>
      <sz val="11"/>
      <color rgb="FF00B050"/>
      <name val="Tahoma"/>
      <family val="2"/>
      <scheme val="minor"/>
    </font>
    <font>
      <sz val="11"/>
      <color rgb="FF00B050"/>
      <name val="Tahoma"/>
      <family val="2"/>
      <scheme val="minor"/>
    </font>
    <font>
      <sz val="8"/>
      <color rgb="FF0000FF"/>
      <name val="Tahoma"/>
      <family val="2"/>
      <scheme val="minor"/>
    </font>
    <font>
      <sz val="8"/>
      <color rgb="FFC00000"/>
      <name val="Tahoma"/>
      <family val="2"/>
      <scheme val="minor"/>
    </font>
    <font>
      <sz val="8"/>
      <color rgb="FF00B050"/>
      <name val="Tahoma"/>
      <family val="2"/>
      <scheme val="minor"/>
    </font>
    <font>
      <b/>
      <sz val="8"/>
      <color rgb="FF0000FF"/>
      <name val="Tahoma"/>
      <family val="2"/>
      <scheme val="minor"/>
    </font>
    <font>
      <b/>
      <sz val="8"/>
      <color rgb="FFC00000"/>
      <name val="Tahoma"/>
      <family val="2"/>
      <scheme val="minor"/>
    </font>
    <font>
      <b/>
      <sz val="8"/>
      <color rgb="FF00B050"/>
      <name val="Tahoma"/>
      <family val="2"/>
      <scheme val="minor"/>
    </font>
    <font>
      <sz val="8"/>
      <color rgb="FFFF3300"/>
      <name val="Tahoma"/>
      <family val="2"/>
      <scheme val="minor"/>
    </font>
    <font>
      <sz val="8"/>
      <color theme="1"/>
      <name val="Tahoma"/>
      <family val="2"/>
      <scheme val="major"/>
    </font>
    <font>
      <b/>
      <u/>
      <sz val="8"/>
      <color theme="1"/>
      <name val="Tahoma"/>
      <family val="2"/>
      <scheme val="major"/>
    </font>
    <font>
      <b/>
      <sz val="8"/>
      <color theme="1"/>
      <name val="Tahoma"/>
      <family val="2"/>
      <scheme val="major"/>
    </font>
    <font>
      <b/>
      <sz val="6"/>
      <color theme="1"/>
      <name val="Tahoma"/>
      <family val="2"/>
      <scheme val="major"/>
    </font>
    <font>
      <sz val="11"/>
      <color theme="1"/>
      <name val="Tahoma"/>
      <family val="2"/>
      <scheme val="major"/>
    </font>
    <font>
      <sz val="11"/>
      <color rgb="FF3333CC"/>
      <name val="Tahoma"/>
      <family val="2"/>
      <scheme val="major"/>
    </font>
    <font>
      <sz val="11"/>
      <color indexed="8"/>
      <name val="Tahoma"/>
      <family val="2"/>
      <scheme val="major"/>
    </font>
    <font>
      <sz val="10"/>
      <name val="新細明體"/>
      <family val="1"/>
      <charset val="136"/>
    </font>
    <font>
      <b/>
      <u/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indexed="8"/>
      <name val="Tahoma"/>
      <family val="2"/>
      <charset val="222"/>
    </font>
    <font>
      <sz val="11"/>
      <color indexed="9"/>
      <name val="Tahoma"/>
      <family val="2"/>
      <charset val="222"/>
    </font>
    <font>
      <sz val="8"/>
      <name val="Times New Roman"/>
      <family val="1"/>
    </font>
    <font>
      <sz val="11"/>
      <color indexed="20"/>
      <name val="Tahoma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9"/>
      <name val="Tahoma"/>
      <family val="2"/>
      <charset val="222"/>
    </font>
    <font>
      <sz val="11"/>
      <name val="Tms Rmn"/>
      <family val="1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Tahoma"/>
      <family val="2"/>
      <charset val="222"/>
    </font>
    <font>
      <sz val="11"/>
      <color indexed="17"/>
      <name val="Tahoma"/>
      <family val="2"/>
      <charset val="222"/>
    </font>
    <font>
      <b/>
      <sz val="15"/>
      <color indexed="56"/>
      <name val="Tahoma"/>
      <family val="2"/>
      <charset val="222"/>
    </font>
    <font>
      <b/>
      <sz val="13"/>
      <color indexed="56"/>
      <name val="Tahoma"/>
      <family val="2"/>
      <charset val="222"/>
    </font>
    <font>
      <b/>
      <sz val="11"/>
      <color indexed="56"/>
      <name val="Tahoma"/>
      <family val="2"/>
      <charset val="222"/>
    </font>
    <font>
      <sz val="11"/>
      <color indexed="62"/>
      <name val="Tahoma"/>
      <family val="2"/>
      <charset val="222"/>
    </font>
    <font>
      <sz val="11"/>
      <color indexed="52"/>
      <name val="Tahoma"/>
      <family val="2"/>
      <charset val="222"/>
    </font>
    <font>
      <sz val="11"/>
      <color indexed="60"/>
      <name val="Tahoma"/>
      <family val="2"/>
      <charset val="222"/>
    </font>
    <font>
      <sz val="7"/>
      <name val="Small Fonts"/>
      <family val="2"/>
    </font>
    <font>
      <b/>
      <sz val="11"/>
      <color indexed="63"/>
      <name val="Tahoma"/>
      <family val="2"/>
      <charset val="222"/>
    </font>
    <font>
      <sz val="28"/>
      <name val="Angsana New"/>
      <family val="1"/>
      <charset val="222"/>
    </font>
    <font>
      <b/>
      <sz val="12"/>
      <color indexed="9"/>
      <name val="Arial"/>
      <family val="2"/>
    </font>
    <font>
      <sz val="8"/>
      <name val="Helv"/>
    </font>
    <font>
      <b/>
      <sz val="8"/>
      <color indexed="8"/>
      <name val="Helv"/>
    </font>
    <font>
      <b/>
      <sz val="18"/>
      <color indexed="56"/>
      <name val="Tahoma"/>
      <family val="2"/>
      <charset val="222"/>
    </font>
    <font>
      <b/>
      <sz val="11"/>
      <color indexed="8"/>
      <name val="Tahoma"/>
      <family val="2"/>
      <charset val="222"/>
    </font>
    <font>
      <sz val="22"/>
      <name val="AngsanaUPC"/>
      <family val="1"/>
    </font>
    <font>
      <sz val="11"/>
      <color indexed="10"/>
      <name val="Tahoma"/>
      <family val="2"/>
      <charset val="222"/>
    </font>
    <font>
      <sz val="14"/>
      <name val="AngsanaUPC"/>
      <family val="1"/>
    </font>
    <font>
      <u/>
      <sz val="8.4"/>
      <color indexed="12"/>
      <name val="Arial"/>
      <family val="2"/>
    </font>
    <font>
      <u/>
      <sz val="14"/>
      <color indexed="36"/>
      <name val="Cordia New"/>
      <family val="2"/>
    </font>
    <font>
      <b/>
      <sz val="9"/>
      <name val="Tahoma"/>
      <family val="2"/>
      <scheme val="minor"/>
    </font>
    <font>
      <b/>
      <sz val="10"/>
      <color theme="1"/>
      <name val="Tahoma"/>
      <family val="2"/>
      <scheme val="minor"/>
    </font>
    <font>
      <sz val="10"/>
      <color theme="0"/>
      <name val="Tahoma"/>
      <family val="2"/>
      <scheme val="minor"/>
    </font>
    <font>
      <sz val="10"/>
      <color theme="0"/>
      <name val="Calibri"/>
      <family val="2"/>
    </font>
    <font>
      <sz val="10"/>
      <color theme="1"/>
      <name val="Calibri"/>
      <family val="2"/>
    </font>
    <font>
      <b/>
      <sz val="12"/>
      <color theme="0"/>
      <name val="Calibri"/>
      <family val="2"/>
    </font>
    <font>
      <sz val="12"/>
      <color theme="0"/>
      <name val="Calibri"/>
      <family val="2"/>
    </font>
    <font>
      <u/>
      <sz val="11"/>
      <color rgb="FF7030A0"/>
      <name val="Tahoma"/>
      <family val="2"/>
      <scheme val="minor"/>
    </font>
    <font>
      <b/>
      <sz val="12"/>
      <color rgb="FFFF3300"/>
      <name val="Calibri"/>
      <family val="2"/>
    </font>
    <font>
      <sz val="11"/>
      <color rgb="FF00CC00"/>
      <name val="Tahoma"/>
      <family val="2"/>
      <scheme val="minor"/>
    </font>
    <font>
      <b/>
      <sz val="11"/>
      <color rgb="FFCC0099"/>
      <name val="Calibri"/>
      <family val="2"/>
    </font>
    <font>
      <sz val="11"/>
      <color theme="7"/>
      <name val="Calibri"/>
      <family val="2"/>
    </font>
    <font>
      <sz val="12"/>
      <color theme="7"/>
      <name val="Calibri"/>
      <family val="2"/>
    </font>
    <font>
      <sz val="11"/>
      <color rgb="FF7030A0"/>
      <name val="Tahoma"/>
      <family val="2"/>
      <scheme val="minor"/>
    </font>
    <font>
      <sz val="11"/>
      <color theme="0" tint="-0.34998626667073579"/>
      <name val="Calibri"/>
      <family val="2"/>
    </font>
    <font>
      <sz val="11"/>
      <color theme="0" tint="-0.249977111117893"/>
      <name val="Calibri"/>
      <family val="2"/>
    </font>
    <font>
      <b/>
      <sz val="11"/>
      <color rgb="FF9966FF"/>
      <name val="Tahoma"/>
      <family val="2"/>
      <scheme val="minor"/>
    </font>
    <font>
      <b/>
      <sz val="11"/>
      <color rgb="FF7030A0"/>
      <name val="Tahoma"/>
      <family val="2"/>
      <scheme val="minor"/>
    </font>
    <font>
      <b/>
      <u/>
      <sz val="11"/>
      <color rgb="FF7030A0"/>
      <name val="Tahoma"/>
      <family val="2"/>
      <scheme val="minor"/>
    </font>
    <font>
      <sz val="14"/>
      <name val="Tahoma"/>
      <family val="2"/>
      <scheme val="minor"/>
    </font>
    <font>
      <sz val="14"/>
      <name val="ＭＳ Ｐゴシック"/>
      <family val="3"/>
      <charset val="128"/>
    </font>
    <font>
      <b/>
      <sz val="14"/>
      <name val="ＭＳ Ｐゴシック"/>
      <family val="3"/>
      <charset val="128"/>
    </font>
  </fonts>
  <fills count="9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gray125">
        <fgColor theme="0" tint="-0.14996795556505021"/>
        <bgColor rgb="FFFFFFCC"/>
      </patternFill>
    </fill>
    <fill>
      <patternFill patternType="gray125">
        <fgColor theme="0" tint="-0.24994659260841701"/>
        <bgColor theme="0" tint="-4.9989318521683403E-2"/>
      </patternFill>
    </fill>
    <fill>
      <patternFill patternType="gray125">
        <fgColor indexed="22"/>
        <bgColor theme="0"/>
      </patternFill>
    </fill>
    <fill>
      <patternFill patternType="gray125">
        <fgColor indexed="22"/>
        <bgColor rgb="FFFFFFCC"/>
      </patternFill>
    </fill>
    <fill>
      <patternFill patternType="gray125">
        <fgColor indexed="22"/>
        <bgColor theme="0" tint="-4.9989318521683403E-2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22"/>
      </patternFill>
    </fill>
    <fill>
      <patternFill patternType="solid">
        <fgColor theme="0"/>
        <bgColor indexed="22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indexed="3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AC090"/>
        <bgColor rgb="FF000000"/>
      </patternFill>
    </fill>
    <fill>
      <patternFill patternType="solid">
        <fgColor rgb="FFB6DDE8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indexed="1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mediumGray">
        <fgColor indexed="22"/>
      </patternFill>
    </fill>
    <fill>
      <patternFill patternType="gray0625"/>
    </fill>
    <fill>
      <patternFill patternType="lightGray">
        <fgColor indexed="1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2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rgb="FFFFFF66"/>
        <bgColor indexed="64"/>
      </patternFill>
    </fill>
    <fill>
      <patternFill patternType="solid">
        <fgColor rgb="FF00CCFF"/>
        <bgColor indexed="64"/>
      </patternFill>
    </fill>
    <fill>
      <patternFill patternType="gray125">
        <fgColor indexed="22"/>
        <bgColor rgb="FFCCECFF"/>
      </patternFill>
    </fill>
    <fill>
      <patternFill patternType="solid">
        <fgColor rgb="FF99FFCC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gray125">
        <fgColor indexed="22"/>
        <bgColor theme="0" tint="-0.249977111117893"/>
      </patternFill>
    </fill>
    <fill>
      <patternFill patternType="gray125">
        <fgColor theme="0" tint="-0.24994659260841701"/>
        <bgColor indexed="65"/>
      </patternFill>
    </fill>
    <fill>
      <patternFill patternType="solid">
        <fgColor rgb="FFFF33CC"/>
        <bgColor indexed="64"/>
      </patternFill>
    </fill>
    <fill>
      <patternFill patternType="solid">
        <fgColor rgb="FFFFCCCC"/>
        <bgColor indexed="64"/>
      </patternFill>
    </fill>
    <fill>
      <patternFill patternType="lightUp">
        <fgColor theme="0" tint="-0.34998626667073579"/>
        <bgColor indexed="65"/>
      </patternFill>
    </fill>
    <fill>
      <patternFill patternType="mediumGray">
        <bgColor theme="0" tint="-4.9989318521683403E-2"/>
      </patternFill>
    </fill>
    <fill>
      <patternFill patternType="solid">
        <fgColor rgb="FF0000FF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indexed="8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FFFF"/>
        <bgColor rgb="FF000000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79998168889431442"/>
        <bgColor indexed="64"/>
      </patternFill>
    </fill>
  </fills>
  <borders count="13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515">
    <xf numFmtId="0" fontId="0" fillId="0" borderId="0"/>
    <xf numFmtId="43" fontId="48" fillId="0" borderId="0" applyFont="0" applyFill="0" applyBorder="0" applyAlignment="0" applyProtection="0"/>
    <xf numFmtId="9" fontId="56" fillId="0" borderId="0" applyFont="0" applyFill="0" applyBorder="0" applyAlignment="0" applyProtection="0"/>
    <xf numFmtId="189" fontId="56" fillId="0" borderId="0" applyFont="0" applyFill="0" applyBorder="0" applyAlignment="0" applyProtection="0"/>
    <xf numFmtId="0" fontId="58" fillId="0" borderId="0"/>
    <xf numFmtId="0" fontId="58" fillId="0" borderId="0"/>
    <xf numFmtId="189" fontId="60" fillId="0" borderId="0" applyFont="0" applyFill="0" applyBorder="0" applyAlignment="0" applyProtection="0"/>
    <xf numFmtId="200" fontId="58" fillId="0" borderId="0"/>
    <xf numFmtId="0" fontId="43" fillId="0" borderId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76" fillId="0" borderId="0">
      <alignment vertical="center"/>
    </xf>
    <xf numFmtId="0" fontId="82" fillId="0" borderId="0" applyNumberFormat="0" applyFill="0" applyBorder="0" applyAlignment="0" applyProtection="0">
      <alignment vertical="top"/>
      <protection locked="0"/>
    </xf>
    <xf numFmtId="0" fontId="43" fillId="0" borderId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6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202" fontId="96" fillId="0" borderId="9" applyNumberFormat="0" applyBorder="0" applyAlignment="0">
      <alignment horizontal="center"/>
    </xf>
    <xf numFmtId="207" fontId="43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97" fillId="0" borderId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99" fillId="0" borderId="0"/>
    <xf numFmtId="0" fontId="42" fillId="0" borderId="0"/>
    <xf numFmtId="0" fontId="39" fillId="0" borderId="0"/>
    <xf numFmtId="0" fontId="38" fillId="0" borderId="0"/>
    <xf numFmtId="200" fontId="37" fillId="0" borderId="0"/>
    <xf numFmtId="200" fontId="37" fillId="0" borderId="0"/>
    <xf numFmtId="200" fontId="37" fillId="0" borderId="0"/>
    <xf numFmtId="200" fontId="37" fillId="0" borderId="0"/>
    <xf numFmtId="200" fontId="37" fillId="0" borderId="0"/>
    <xf numFmtId="200" fontId="37" fillId="0" borderId="0"/>
    <xf numFmtId="200" fontId="37" fillId="0" borderId="0"/>
    <xf numFmtId="200" fontId="37" fillId="0" borderId="0"/>
    <xf numFmtId="200" fontId="37" fillId="0" borderId="0"/>
    <xf numFmtId="200" fontId="37" fillId="0" borderId="0"/>
    <xf numFmtId="200" fontId="58" fillId="0" borderId="0"/>
    <xf numFmtId="200" fontId="37" fillId="0" borderId="0"/>
    <xf numFmtId="200" fontId="37" fillId="0" borderId="0"/>
    <xf numFmtId="200" fontId="37" fillId="0" borderId="0"/>
    <xf numFmtId="200" fontId="37" fillId="0" borderId="0"/>
    <xf numFmtId="200" fontId="37" fillId="0" borderId="0"/>
    <xf numFmtId="200" fontId="37" fillId="0" borderId="0"/>
    <xf numFmtId="200" fontId="37" fillId="0" borderId="0"/>
    <xf numFmtId="200" fontId="37" fillId="0" borderId="0"/>
    <xf numFmtId="9" fontId="35" fillId="0" borderId="0" applyFont="0" applyFill="0" applyBorder="0" applyAlignment="0" applyProtection="0"/>
    <xf numFmtId="0" fontId="35" fillId="0" borderId="0"/>
    <xf numFmtId="0" fontId="147" fillId="0" borderId="0"/>
    <xf numFmtId="9" fontId="35" fillId="0" borderId="0" applyFont="0" applyFill="0" applyBorder="0" applyAlignment="0" applyProtection="0"/>
    <xf numFmtId="0" fontId="35" fillId="0" borderId="0"/>
    <xf numFmtId="0" fontId="147" fillId="0" borderId="0"/>
    <xf numFmtId="9" fontId="35" fillId="0" borderId="0" applyFont="0" applyFill="0" applyBorder="0" applyAlignment="0" applyProtection="0"/>
    <xf numFmtId="0" fontId="147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147" fillId="0" borderId="0"/>
    <xf numFmtId="9" fontId="35" fillId="0" borderId="0" applyFont="0" applyFill="0" applyBorder="0" applyAlignment="0" applyProtection="0"/>
    <xf numFmtId="0" fontId="147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43" fontId="35" fillId="0" borderId="0" applyFont="0" applyFill="0" applyBorder="0" applyAlignment="0" applyProtection="0"/>
    <xf numFmtId="43" fontId="48" fillId="0" borderId="0" applyFont="0" applyFill="0" applyBorder="0" applyAlignment="0" applyProtection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7" fontId="35" fillId="0" borderId="0"/>
    <xf numFmtId="200" fontId="35" fillId="0" borderId="0"/>
    <xf numFmtId="0" fontId="35" fillId="0" borderId="0"/>
    <xf numFmtId="43" fontId="35" fillId="0" borderId="0" applyFont="0" applyFill="0" applyBorder="0" applyAlignment="0" applyProtection="0"/>
    <xf numFmtId="43" fontId="48" fillId="0" borderId="0" applyFont="0" applyFill="0" applyBorder="0" applyAlignment="0" applyProtection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7" fontId="35" fillId="0" borderId="0"/>
    <xf numFmtId="200" fontId="35" fillId="0" borderId="0"/>
    <xf numFmtId="0" fontId="35" fillId="0" borderId="0"/>
    <xf numFmtId="0" fontId="35" fillId="0" borderId="0"/>
    <xf numFmtId="200" fontId="35" fillId="0" borderId="0"/>
    <xf numFmtId="207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43" fontId="48" fillId="0" borderId="0" applyFont="0" applyFill="0" applyBorder="0" applyAlignment="0" applyProtection="0"/>
    <xf numFmtId="43" fontId="35" fillId="0" borderId="0" applyFont="0" applyFill="0" applyBorder="0" applyAlignment="0" applyProtection="0"/>
    <xf numFmtId="200" fontId="35" fillId="0" borderId="0"/>
    <xf numFmtId="200" fontId="35" fillId="0" borderId="0"/>
    <xf numFmtId="214" fontId="35" fillId="0" borderId="0"/>
    <xf numFmtId="189" fontId="35" fillId="0" borderId="0" applyFont="0" applyFill="0" applyBorder="0" applyAlignment="0" applyProtection="0"/>
    <xf numFmtId="200" fontId="35" fillId="0" borderId="0"/>
    <xf numFmtId="200" fontId="58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0" fontId="48" fillId="0" borderId="0"/>
    <xf numFmtId="200" fontId="58" fillId="0" borderId="0"/>
    <xf numFmtId="200" fontId="35" fillId="0" borderId="0"/>
    <xf numFmtId="0" fontId="35" fillId="0" borderId="0"/>
    <xf numFmtId="200" fontId="35" fillId="0" borderId="0"/>
    <xf numFmtId="203" fontId="58" fillId="0" borderId="0"/>
    <xf numFmtId="0" fontId="35" fillId="0" borderId="0"/>
    <xf numFmtId="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0" fontId="35" fillId="0" borderId="0"/>
    <xf numFmtId="200" fontId="35" fillId="0" borderId="0"/>
    <xf numFmtId="200" fontId="35" fillId="0" borderId="0"/>
    <xf numFmtId="200" fontId="35" fillId="0" borderId="0"/>
    <xf numFmtId="9" fontId="35" fillId="0" borderId="0" applyFont="0" applyFill="0" applyBorder="0" applyAlignment="0" applyProtection="0"/>
    <xf numFmtId="0" fontId="48" fillId="0" borderId="0"/>
    <xf numFmtId="9" fontId="56" fillId="0" borderId="0" applyFont="0" applyFill="0" applyBorder="0" applyAlignment="0" applyProtection="0"/>
    <xf numFmtId="200" fontId="35" fillId="0" borderId="0"/>
    <xf numFmtId="200" fontId="35" fillId="0" borderId="0"/>
    <xf numFmtId="200" fontId="35" fillId="0" borderId="0"/>
    <xf numFmtId="0" fontId="48" fillId="0" borderId="0"/>
    <xf numFmtId="0" fontId="35" fillId="0" borderId="0"/>
    <xf numFmtId="0" fontId="35" fillId="0" borderId="0"/>
    <xf numFmtId="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0" fontId="35" fillId="0" borderId="0"/>
    <xf numFmtId="200" fontId="35" fillId="0" borderId="0"/>
    <xf numFmtId="9" fontId="35" fillId="0" borderId="0" applyFont="0" applyFill="0" applyBorder="0" applyAlignment="0" applyProtection="0"/>
    <xf numFmtId="0" fontId="35" fillId="0" borderId="0"/>
    <xf numFmtId="189" fontId="56" fillId="0" borderId="0" applyFont="0" applyFill="0" applyBorder="0" applyAlignment="0" applyProtection="0"/>
    <xf numFmtId="200" fontId="35" fillId="0" borderId="0"/>
    <xf numFmtId="0" fontId="35" fillId="0" borderId="0"/>
    <xf numFmtId="0" fontId="35" fillId="0" borderId="0"/>
    <xf numFmtId="200" fontId="35" fillId="0" borderId="0"/>
    <xf numFmtId="200" fontId="35" fillId="0" borderId="0"/>
    <xf numFmtId="200" fontId="58" fillId="0" borderId="0"/>
    <xf numFmtId="200" fontId="58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200" fontId="35" fillId="0" borderId="0"/>
    <xf numFmtId="9" fontId="35" fillId="0" borderId="0" applyFont="0" applyFill="0" applyBorder="0" applyAlignment="0" applyProtection="0"/>
    <xf numFmtId="200" fontId="35" fillId="0" borderId="0"/>
    <xf numFmtId="200" fontId="35" fillId="0" borderId="0"/>
    <xf numFmtId="200" fontId="35" fillId="0" borderId="0"/>
    <xf numFmtId="200" fontId="34" fillId="0" borderId="0"/>
    <xf numFmtId="200" fontId="34" fillId="0" borderId="0"/>
    <xf numFmtId="0" fontId="48" fillId="0" borderId="0"/>
    <xf numFmtId="200" fontId="32" fillId="0" borderId="0"/>
    <xf numFmtId="200" fontId="32" fillId="0" borderId="0"/>
    <xf numFmtId="214" fontId="32" fillId="0" borderId="0"/>
    <xf numFmtId="214" fontId="32" fillId="0" borderId="0"/>
    <xf numFmtId="189" fontId="32" fillId="0" borderId="0" applyFont="0" applyFill="0" applyBorder="0" applyAlignment="0" applyProtection="0"/>
    <xf numFmtId="9" fontId="58" fillId="0" borderId="0" applyFont="0" applyFill="0" applyBorder="0" applyAlignment="0" applyProtection="0"/>
    <xf numFmtId="214" fontId="32" fillId="0" borderId="0"/>
    <xf numFmtId="9" fontId="32" fillId="0" borderId="0" applyFont="0" applyFill="0" applyBorder="0" applyAlignment="0" applyProtection="0"/>
    <xf numFmtId="43" fontId="58" fillId="0" borderId="0" applyFont="0" applyFill="0" applyBorder="0" applyAlignment="0" applyProtection="0"/>
    <xf numFmtId="214" fontId="32" fillId="0" borderId="0"/>
    <xf numFmtId="214" fontId="58" fillId="0" borderId="0"/>
    <xf numFmtId="214" fontId="32" fillId="0" borderId="0"/>
    <xf numFmtId="214" fontId="58" fillId="0" borderId="0"/>
    <xf numFmtId="214" fontId="32" fillId="0" borderId="0"/>
    <xf numFmtId="9" fontId="58" fillId="0" borderId="0" applyFont="0" applyFill="0" applyBorder="0" applyAlignment="0" applyProtection="0"/>
    <xf numFmtId="214" fontId="58" fillId="0" borderId="0"/>
    <xf numFmtId="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214" fontId="32" fillId="0" borderId="0"/>
    <xf numFmtId="220" fontId="158" fillId="0" borderId="0" applyFont="0" applyFill="0" applyBorder="0" applyAlignment="0" applyProtection="0"/>
    <xf numFmtId="38" fontId="159" fillId="0" borderId="0">
      <alignment vertical="center"/>
    </xf>
    <xf numFmtId="221" fontId="158" fillId="0" borderId="0" applyFont="0" applyFill="0" applyBorder="0" applyAlignment="0" applyProtection="0"/>
    <xf numFmtId="214" fontId="160" fillId="0" borderId="0" applyFont="0" applyFill="0" applyBorder="0" applyAlignment="0" applyProtection="0"/>
    <xf numFmtId="214" fontId="160" fillId="0" borderId="0" applyFont="0" applyFill="0" applyBorder="0" applyAlignment="0" applyProtection="0"/>
    <xf numFmtId="214" fontId="58" fillId="0" borderId="0" applyNumberFormat="0" applyFill="0" applyBorder="0" applyAlignment="0" applyProtection="0"/>
    <xf numFmtId="214" fontId="58" fillId="0" borderId="0"/>
    <xf numFmtId="214" fontId="161" fillId="0" borderId="0"/>
    <xf numFmtId="214" fontId="162" fillId="0" borderId="0"/>
    <xf numFmtId="214" fontId="161" fillId="0" borderId="0"/>
    <xf numFmtId="214" fontId="163" fillId="0" borderId="0" applyNumberFormat="0" applyFill="0" applyBorder="0" applyAlignment="0" applyProtection="0">
      <alignment vertical="top"/>
      <protection locked="0"/>
    </xf>
    <xf numFmtId="214" fontId="58" fillId="0" borderId="0" applyFont="0" applyFill="0" applyBorder="0" applyAlignment="0" applyProtection="0"/>
    <xf numFmtId="214" fontId="58" fillId="0" borderId="0" applyFont="0" applyFill="0" applyBorder="0" applyAlignment="0" applyProtection="0"/>
    <xf numFmtId="214" fontId="58" fillId="0" borderId="0" applyFont="0" applyFill="0" applyBorder="0" applyAlignment="0" applyProtection="0"/>
    <xf numFmtId="214" fontId="58" fillId="0" borderId="0" applyFont="0" applyFill="0" applyBorder="0" applyAlignment="0" applyProtection="0"/>
    <xf numFmtId="214" fontId="164" fillId="0" borderId="0"/>
    <xf numFmtId="214" fontId="165" fillId="43" borderId="0" applyNumberFormat="0" applyBorder="0" applyAlignment="0" applyProtection="0">
      <alignment vertical="center"/>
    </xf>
    <xf numFmtId="214" fontId="165" fillId="44" borderId="0" applyNumberFormat="0" applyBorder="0" applyAlignment="0" applyProtection="0">
      <alignment vertical="center"/>
    </xf>
    <xf numFmtId="214" fontId="165" fillId="45" borderId="0" applyNumberFormat="0" applyBorder="0" applyAlignment="0" applyProtection="0">
      <alignment vertical="center"/>
    </xf>
    <xf numFmtId="214" fontId="165" fillId="46" borderId="0" applyNumberFormat="0" applyBorder="0" applyAlignment="0" applyProtection="0">
      <alignment vertical="center"/>
    </xf>
    <xf numFmtId="214" fontId="165" fillId="47" borderId="0" applyNumberFormat="0" applyBorder="0" applyAlignment="0" applyProtection="0">
      <alignment vertical="center"/>
    </xf>
    <xf numFmtId="214" fontId="165" fillId="48" borderId="0" applyNumberFormat="0" applyBorder="0" applyAlignment="0" applyProtection="0">
      <alignment vertical="center"/>
    </xf>
    <xf numFmtId="222" fontId="166" fillId="0" borderId="0" applyFont="0" applyFill="0" applyBorder="0" applyAlignment="0" applyProtection="0"/>
    <xf numFmtId="223" fontId="166" fillId="0" borderId="0" applyFont="0" applyFill="0" applyBorder="0" applyAlignment="0" applyProtection="0"/>
    <xf numFmtId="214" fontId="165" fillId="49" borderId="0" applyNumberFormat="0" applyBorder="0" applyAlignment="0" applyProtection="0">
      <alignment vertical="center"/>
    </xf>
    <xf numFmtId="214" fontId="165" fillId="50" borderId="0" applyNumberFormat="0" applyBorder="0" applyAlignment="0" applyProtection="0">
      <alignment vertical="center"/>
    </xf>
    <xf numFmtId="214" fontId="165" fillId="51" borderId="0" applyNumberFormat="0" applyBorder="0" applyAlignment="0" applyProtection="0">
      <alignment vertical="center"/>
    </xf>
    <xf numFmtId="214" fontId="165" fillId="46" borderId="0" applyNumberFormat="0" applyBorder="0" applyAlignment="0" applyProtection="0">
      <alignment vertical="center"/>
    </xf>
    <xf numFmtId="214" fontId="165" fillId="49" borderId="0" applyNumberFormat="0" applyBorder="0" applyAlignment="0" applyProtection="0">
      <alignment vertical="center"/>
    </xf>
    <xf numFmtId="214" fontId="165" fillId="52" borderId="0" applyNumberFormat="0" applyBorder="0" applyAlignment="0" applyProtection="0">
      <alignment vertical="center"/>
    </xf>
    <xf numFmtId="214" fontId="167" fillId="53" borderId="0" applyNumberFormat="0" applyBorder="0" applyAlignment="0" applyProtection="0">
      <alignment vertical="center"/>
    </xf>
    <xf numFmtId="214" fontId="167" fillId="50" borderId="0" applyNumberFormat="0" applyBorder="0" applyAlignment="0" applyProtection="0">
      <alignment vertical="center"/>
    </xf>
    <xf numFmtId="214" fontId="167" fillId="51" borderId="0" applyNumberFormat="0" applyBorder="0" applyAlignment="0" applyProtection="0">
      <alignment vertical="center"/>
    </xf>
    <xf numFmtId="214" fontId="167" fillId="54" borderId="0" applyNumberFormat="0" applyBorder="0" applyAlignment="0" applyProtection="0">
      <alignment vertical="center"/>
    </xf>
    <xf numFmtId="214" fontId="167" fillId="55" borderId="0" applyNumberFormat="0" applyBorder="0" applyAlignment="0" applyProtection="0">
      <alignment vertical="center"/>
    </xf>
    <xf numFmtId="214" fontId="167" fillId="56" borderId="0" applyNumberFormat="0" applyBorder="0" applyAlignment="0" applyProtection="0">
      <alignment vertical="center"/>
    </xf>
    <xf numFmtId="214" fontId="104" fillId="0" borderId="0" applyNumberFormat="0" applyAlignment="0"/>
    <xf numFmtId="224" fontId="154" fillId="0" borderId="0">
      <alignment vertical="center"/>
    </xf>
    <xf numFmtId="225" fontId="159" fillId="0" borderId="0">
      <alignment vertical="center"/>
    </xf>
    <xf numFmtId="216" fontId="158" fillId="57" borderId="0" applyFill="0" applyBorder="0" applyAlignment="0" applyProtection="0"/>
    <xf numFmtId="214" fontId="168" fillId="0" borderId="9">
      <alignment horizontal="center"/>
    </xf>
    <xf numFmtId="41" fontId="162" fillId="0" borderId="0" applyFont="0" applyFill="0" applyBorder="0" applyAlignment="0" applyProtection="0">
      <alignment vertical="center"/>
    </xf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6" fillId="0" borderId="0" applyFont="0" applyFill="0" applyBorder="0" applyAlignment="0" applyProtection="0"/>
    <xf numFmtId="43" fontId="170" fillId="0" borderId="0" applyFont="0" applyFill="0" applyBorder="0" applyAlignment="0" applyProtection="0"/>
    <xf numFmtId="189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6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169" fillId="0" borderId="0" applyFont="0" applyFill="0" applyBorder="0" applyAlignment="0" applyProtection="0"/>
    <xf numFmtId="189" fontId="169" fillId="0" borderId="0" applyFont="0" applyFill="0" applyBorder="0" applyAlignment="0" applyProtection="0"/>
    <xf numFmtId="189" fontId="169" fillId="0" borderId="0" applyFont="0" applyFill="0" applyBorder="0" applyAlignment="0" applyProtection="0"/>
    <xf numFmtId="189" fontId="169" fillId="0" borderId="0" applyFont="0" applyFill="0" applyBorder="0" applyAlignment="0" applyProtection="0"/>
    <xf numFmtId="189" fontId="169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169" fillId="0" borderId="0" applyFont="0" applyFill="0" applyBorder="0" applyAlignment="0" applyProtection="0"/>
    <xf numFmtId="189" fontId="169" fillId="0" borderId="0" applyFont="0" applyFill="0" applyBorder="0" applyAlignment="0" applyProtection="0"/>
    <xf numFmtId="189" fontId="169" fillId="0" borderId="0" applyFont="0" applyFill="0" applyBorder="0" applyAlignment="0" applyProtection="0"/>
    <xf numFmtId="189" fontId="169" fillId="0" borderId="0" applyFont="0" applyFill="0" applyBorder="0" applyAlignment="0" applyProtection="0"/>
    <xf numFmtId="189" fontId="169" fillId="0" borderId="0" applyFont="0" applyFill="0" applyBorder="0" applyAlignment="0" applyProtection="0"/>
    <xf numFmtId="189" fontId="169" fillId="0" borderId="0" applyFont="0" applyFill="0" applyBorder="0" applyAlignment="0" applyProtection="0"/>
    <xf numFmtId="189" fontId="169" fillId="0" borderId="0" applyFont="0" applyFill="0" applyBorder="0" applyAlignment="0" applyProtection="0"/>
    <xf numFmtId="189" fontId="169" fillId="0" borderId="0" applyFont="0" applyFill="0" applyBorder="0" applyAlignment="0" applyProtection="0"/>
    <xf numFmtId="189" fontId="58" fillId="0" borderId="0" applyFont="0" applyFill="0" applyBorder="0" applyAlignment="0" applyProtection="0"/>
    <xf numFmtId="216" fontId="56" fillId="0" borderId="0" applyFont="0" applyFill="0" applyBorder="0" applyAlignment="0" applyProtection="0"/>
    <xf numFmtId="214" fontId="56" fillId="0" borderId="0" applyFont="0" applyFill="0" applyBorder="0" applyAlignment="0" applyProtection="0"/>
    <xf numFmtId="214" fontId="56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56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98" fillId="0" borderId="0" applyFont="0" applyFill="0" applyBorder="0" applyAlignment="0" applyProtection="0"/>
    <xf numFmtId="189" fontId="56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32" fillId="0" borderId="0" applyFont="0" applyFill="0" applyBorder="0" applyAlignment="0" applyProtection="0"/>
    <xf numFmtId="43" fontId="58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214" fontId="171" fillId="0" borderId="0">
      <protection locked="0"/>
    </xf>
    <xf numFmtId="199" fontId="58" fillId="0" borderId="0"/>
    <xf numFmtId="226" fontId="172" fillId="0" borderId="0" applyNumberFormat="0" applyBorder="0">
      <protection locked="0"/>
    </xf>
    <xf numFmtId="223" fontId="158" fillId="0" borderId="0" applyFont="0" applyFill="0" applyBorder="0" applyAlignment="0" applyProtection="0"/>
    <xf numFmtId="214" fontId="173" fillId="0" borderId="0" applyFont="0" applyFill="0" applyBorder="0" applyAlignment="0" applyProtection="0"/>
    <xf numFmtId="214" fontId="174" fillId="0" borderId="0" applyNumberFormat="0" applyFill="0" applyBorder="0" applyAlignment="0" applyProtection="0"/>
    <xf numFmtId="38" fontId="104" fillId="57" borderId="0" applyNumberFormat="0" applyBorder="0" applyAlignment="0" applyProtection="0"/>
    <xf numFmtId="214" fontId="175" fillId="0" borderId="42" applyNumberFormat="0" applyAlignment="0" applyProtection="0">
      <alignment horizontal="left" vertical="center"/>
    </xf>
    <xf numFmtId="214" fontId="175" fillId="0" borderId="6">
      <alignment horizontal="left" vertical="center"/>
    </xf>
    <xf numFmtId="214" fontId="176" fillId="0" borderId="0" applyNumberFormat="0" applyFill="0" applyBorder="0" applyAlignment="0" applyProtection="0"/>
    <xf numFmtId="214" fontId="177" fillId="0" borderId="0" applyNumberFormat="0" applyFill="0" applyBorder="0" applyAlignment="0" applyProtection="0">
      <alignment vertical="top"/>
      <protection locked="0"/>
    </xf>
    <xf numFmtId="214" fontId="178" fillId="0" borderId="0" applyNumberFormat="0" applyFill="0" applyBorder="0" applyAlignment="0" applyProtection="0">
      <alignment vertical="top"/>
      <protection locked="0"/>
    </xf>
    <xf numFmtId="214" fontId="179" fillId="0" borderId="0" applyNumberFormat="0" applyFill="0" applyBorder="0" applyAlignment="0" applyProtection="0">
      <alignment vertical="top"/>
      <protection locked="0"/>
    </xf>
    <xf numFmtId="10" fontId="104" fillId="21" borderId="8" applyNumberFormat="0" applyBorder="0" applyAlignment="0" applyProtection="0"/>
    <xf numFmtId="38" fontId="180" fillId="0" borderId="0" applyFont="0" applyFill="0" applyBorder="0" applyAlignment="0" applyProtection="0"/>
    <xf numFmtId="40" fontId="180" fillId="0" borderId="0" applyFont="0" applyFill="0" applyBorder="0" applyAlignment="0" applyProtection="0"/>
    <xf numFmtId="214" fontId="58" fillId="0" borderId="0" applyFont="0" applyFill="0" applyBorder="0" applyAlignment="0" applyProtection="0"/>
    <xf numFmtId="214" fontId="58" fillId="0" borderId="0" applyFont="0" applyFill="0" applyBorder="0" applyAlignment="0" applyProtection="0"/>
    <xf numFmtId="214" fontId="181" fillId="0" borderId="0" applyNumberFormat="0" applyFill="0" applyBorder="0" applyAlignment="0" applyProtection="0"/>
    <xf numFmtId="214" fontId="182" fillId="0" borderId="0" applyNumberFormat="0" applyFont="0" applyFill="0" applyAlignment="0"/>
    <xf numFmtId="227" fontId="58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58" fillId="0" borderId="0"/>
    <xf numFmtId="214" fontId="58" fillId="0" borderId="0"/>
    <xf numFmtId="214" fontId="58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32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32" fillId="0" borderId="0"/>
    <xf numFmtId="214" fontId="32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32" fillId="0" borderId="0"/>
    <xf numFmtId="214" fontId="58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32" fillId="0" borderId="0"/>
    <xf numFmtId="214" fontId="32" fillId="0" borderId="0"/>
    <xf numFmtId="214" fontId="32" fillId="0" borderId="0"/>
    <xf numFmtId="214" fontId="32" fillId="0" borderId="0"/>
    <xf numFmtId="214" fontId="32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32" fillId="0" borderId="0"/>
    <xf numFmtId="214" fontId="32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83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0" fontId="58" fillId="0" borderId="0"/>
    <xf numFmtId="0" fontId="32" fillId="0" borderId="0"/>
    <xf numFmtId="214" fontId="58" fillId="0" borderId="0"/>
    <xf numFmtId="214" fontId="56" fillId="0" borderId="0"/>
    <xf numFmtId="214" fontId="32" fillId="0" borderId="0"/>
    <xf numFmtId="214" fontId="32" fillId="0" borderId="0"/>
    <xf numFmtId="214" fontId="32" fillId="0" borderId="0"/>
    <xf numFmtId="214" fontId="32" fillId="0" borderId="0"/>
    <xf numFmtId="214" fontId="32" fillId="0" borderId="0"/>
    <xf numFmtId="214" fontId="32" fillId="0" borderId="0"/>
    <xf numFmtId="214" fontId="32" fillId="0" borderId="0"/>
    <xf numFmtId="214" fontId="32" fillId="0" borderId="0"/>
    <xf numFmtId="214" fontId="32" fillId="0" borderId="0"/>
    <xf numFmtId="214" fontId="32" fillId="0" borderId="0"/>
    <xf numFmtId="214" fontId="32" fillId="0" borderId="0"/>
    <xf numFmtId="214" fontId="32" fillId="0" borderId="0"/>
    <xf numFmtId="214" fontId="32" fillId="0" borderId="0"/>
    <xf numFmtId="214" fontId="32" fillId="0" borderId="0"/>
    <xf numFmtId="214" fontId="32" fillId="0" borderId="0"/>
    <xf numFmtId="214" fontId="32" fillId="0" borderId="0"/>
    <xf numFmtId="214" fontId="32" fillId="0" borderId="0"/>
    <xf numFmtId="214" fontId="180" fillId="0" borderId="0"/>
    <xf numFmtId="214" fontId="32" fillId="42" borderId="70" applyNumberFormat="0" applyFont="0" applyAlignment="0" applyProtection="0"/>
    <xf numFmtId="214" fontId="32" fillId="42" borderId="70" applyNumberFormat="0" applyFont="0" applyAlignment="0" applyProtection="0"/>
    <xf numFmtId="189" fontId="58" fillId="0" borderId="0" applyFont="0" applyFill="0" applyBorder="0" applyAlignment="0" applyProtection="0"/>
    <xf numFmtId="188" fontId="58" fillId="0" borderId="0" applyFont="0" applyFill="0" applyBorder="0" applyAlignment="0" applyProtection="0"/>
    <xf numFmtId="10" fontId="5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169" fillId="0" borderId="0" applyFont="0" applyFill="0" applyBorder="0" applyAlignment="0" applyProtection="0"/>
    <xf numFmtId="9" fontId="169" fillId="0" borderId="0" applyFont="0" applyFill="0" applyBorder="0" applyAlignment="0" applyProtection="0"/>
    <xf numFmtId="9" fontId="169" fillId="0" borderId="0" applyFont="0" applyFill="0" applyBorder="0" applyAlignment="0" applyProtection="0"/>
    <xf numFmtId="9" fontId="169" fillId="0" borderId="0" applyFont="0" applyFill="0" applyBorder="0" applyAlignment="0" applyProtection="0"/>
    <xf numFmtId="9" fontId="169" fillId="0" borderId="0" applyFont="0" applyFill="0" applyBorder="0" applyAlignment="0" applyProtection="0"/>
    <xf numFmtId="9" fontId="169" fillId="0" borderId="0" applyFont="0" applyFill="0" applyBorder="0" applyAlignment="0" applyProtection="0"/>
    <xf numFmtId="9" fontId="169" fillId="0" borderId="0" applyFont="0" applyFill="0" applyBorder="0" applyAlignment="0" applyProtection="0"/>
    <xf numFmtId="9" fontId="169" fillId="0" borderId="0" applyFont="0" applyFill="0" applyBorder="0" applyAlignment="0" applyProtection="0"/>
    <xf numFmtId="9" fontId="169" fillId="0" borderId="0" applyFont="0" applyFill="0" applyBorder="0" applyAlignment="0" applyProtection="0"/>
    <xf numFmtId="9" fontId="169" fillId="0" borderId="0" applyFont="0" applyFill="0" applyBorder="0" applyAlignment="0" applyProtection="0"/>
    <xf numFmtId="9" fontId="169" fillId="0" borderId="0" applyFont="0" applyFill="0" applyBorder="0" applyAlignment="0" applyProtection="0"/>
    <xf numFmtId="9" fontId="169" fillId="0" borderId="0" applyFont="0" applyFill="0" applyBorder="0" applyAlignment="0" applyProtection="0"/>
    <xf numFmtId="9" fontId="169" fillId="0" borderId="0" applyFont="0" applyFill="0" applyBorder="0" applyAlignment="0" applyProtection="0"/>
    <xf numFmtId="228" fontId="180" fillId="0" borderId="0" applyFont="0" applyFill="0" applyBorder="0" applyAlignment="0" applyProtection="0"/>
    <xf numFmtId="214" fontId="180" fillId="0" borderId="0" applyNumberFormat="0" applyFont="0" applyFill="0" applyBorder="0" applyAlignment="0" applyProtection="0">
      <alignment horizontal="left"/>
    </xf>
    <xf numFmtId="15" fontId="180" fillId="0" borderId="0" applyFont="0" applyFill="0" applyBorder="0" applyAlignment="0" applyProtection="0"/>
    <xf numFmtId="4" fontId="180" fillId="0" borderId="0" applyFont="0" applyFill="0" applyBorder="0" applyAlignment="0" applyProtection="0"/>
    <xf numFmtId="214" fontId="184" fillId="0" borderId="50">
      <alignment horizontal="center"/>
    </xf>
    <xf numFmtId="3" fontId="180" fillId="0" borderId="0" applyFont="0" applyFill="0" applyBorder="0" applyAlignment="0" applyProtection="0"/>
    <xf numFmtId="214" fontId="180" fillId="58" borderId="0" applyNumberFormat="0" applyFont="0" applyBorder="0" applyAlignment="0" applyProtection="0"/>
    <xf numFmtId="214" fontId="174" fillId="59" borderId="71" applyNumberFormat="0" applyFont="0" applyBorder="0" applyAlignment="0" applyProtection="0"/>
    <xf numFmtId="214" fontId="184" fillId="60" borderId="0" applyNumberFormat="0" applyFont="0" applyBorder="0" applyAlignment="0" applyProtection="0">
      <alignment wrapText="1"/>
    </xf>
    <xf numFmtId="214" fontId="185" fillId="0" borderId="35">
      <alignment horizontal="left"/>
    </xf>
    <xf numFmtId="214" fontId="181" fillId="0" borderId="0" applyNumberFormat="0" applyFill="0" applyBorder="0" applyAlignment="0" applyProtection="0"/>
    <xf numFmtId="214" fontId="162" fillId="0" borderId="0"/>
    <xf numFmtId="214" fontId="186" fillId="0" borderId="0"/>
    <xf numFmtId="214" fontId="161" fillId="0" borderId="0"/>
    <xf numFmtId="214" fontId="174" fillId="0" borderId="6" applyNumberFormat="0" applyFill="0" applyBorder="0" applyAlignment="0" applyProtection="0">
      <alignment horizontal="centerContinuous"/>
    </xf>
    <xf numFmtId="214" fontId="181" fillId="0" borderId="6" applyNumberFormat="0" applyFill="0" applyBorder="0" applyAlignment="0" applyProtection="0">
      <alignment horizontal="centerContinuous"/>
    </xf>
    <xf numFmtId="214" fontId="176" fillId="0" borderId="64" applyNumberFormat="0" applyFill="0" applyBorder="0" applyAlignment="0" applyProtection="0"/>
    <xf numFmtId="214" fontId="180" fillId="0" borderId="0" applyNumberFormat="0" applyFont="0" applyBorder="0" applyAlignment="0" applyProtection="0"/>
    <xf numFmtId="229" fontId="180" fillId="0" borderId="0" applyFont="0" applyFill="0" applyBorder="0" applyAlignment="0" applyProtection="0"/>
    <xf numFmtId="229" fontId="180" fillId="0" borderId="0" applyFont="0" applyFill="0" applyBorder="0" applyAlignment="0" applyProtection="0"/>
    <xf numFmtId="40" fontId="97" fillId="0" borderId="0" applyFont="0" applyFill="0" applyBorder="0" applyAlignment="0" applyProtection="0"/>
    <xf numFmtId="38" fontId="97" fillId="0" borderId="0" applyFont="0" applyFill="0" applyBorder="0" applyAlignment="0" applyProtection="0"/>
    <xf numFmtId="214" fontId="187" fillId="0" borderId="0" applyFont="0" applyFill="0" applyBorder="0" applyAlignment="0" applyProtection="0"/>
    <xf numFmtId="214" fontId="187" fillId="0" borderId="0" applyFont="0" applyFill="0" applyBorder="0" applyAlignment="0" applyProtection="0"/>
    <xf numFmtId="214" fontId="162" fillId="0" borderId="0">
      <alignment vertical="center"/>
    </xf>
    <xf numFmtId="214" fontId="188" fillId="0" borderId="0"/>
    <xf numFmtId="214" fontId="185" fillId="0" borderId="0"/>
    <xf numFmtId="214" fontId="189" fillId="0" borderId="0" applyNumberFormat="0" applyFill="0" applyBorder="0" applyAlignment="0" applyProtection="0">
      <alignment vertical="top"/>
      <protection locked="0"/>
    </xf>
    <xf numFmtId="214" fontId="190" fillId="0" borderId="0"/>
    <xf numFmtId="214" fontId="171" fillId="0" borderId="0"/>
    <xf numFmtId="214" fontId="171" fillId="0" borderId="0" applyFont="0" applyFill="0" applyBorder="0" applyAlignment="0" applyProtection="0"/>
    <xf numFmtId="214" fontId="171" fillId="0" borderId="0" applyFont="0" applyFill="0" applyBorder="0" applyAlignment="0" applyProtection="0"/>
    <xf numFmtId="214" fontId="182" fillId="0" borderId="0"/>
    <xf numFmtId="214" fontId="191" fillId="0" borderId="0" applyNumberFormat="0" applyFill="0" applyBorder="0" applyAlignment="0" applyProtection="0">
      <alignment vertical="top"/>
      <protection locked="0"/>
    </xf>
    <xf numFmtId="214" fontId="158" fillId="0" borderId="0">
      <alignment vertical="center"/>
    </xf>
    <xf numFmtId="214" fontId="192" fillId="0" borderId="0">
      <alignment vertical="center"/>
    </xf>
    <xf numFmtId="214" fontId="193" fillId="61" borderId="0" applyNumberFormat="0" applyBorder="0" applyAlignment="0" applyProtection="0">
      <alignment vertical="center"/>
    </xf>
    <xf numFmtId="214" fontId="165" fillId="62" borderId="72" applyNumberFormat="0" applyFont="0" applyAlignment="0" applyProtection="0">
      <alignment vertical="center"/>
    </xf>
    <xf numFmtId="230" fontId="58" fillId="0" borderId="0" applyFont="0" applyFill="0" applyBorder="0" applyAlignment="0" applyProtection="0"/>
    <xf numFmtId="231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88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214" fontId="194" fillId="0" borderId="73" applyNumberFormat="0" applyFill="0" applyAlignment="0" applyProtection="0">
      <alignment vertical="center"/>
    </xf>
    <xf numFmtId="214" fontId="195" fillId="44" borderId="0" applyNumberFormat="0" applyBorder="0" applyAlignment="0" applyProtection="0">
      <alignment vertical="center"/>
    </xf>
    <xf numFmtId="214" fontId="196" fillId="45" borderId="0" applyNumberFormat="0" applyBorder="0" applyAlignment="0" applyProtection="0">
      <alignment vertical="center"/>
    </xf>
    <xf numFmtId="40" fontId="97" fillId="0" borderId="0" applyFont="0" applyFill="0" applyBorder="0" applyAlignment="0" applyProtection="0"/>
    <xf numFmtId="38" fontId="97" fillId="0" borderId="0" applyFont="0" applyFill="0" applyBorder="0" applyAlignment="0" applyProtection="0"/>
    <xf numFmtId="230" fontId="197" fillId="0" borderId="0" applyFont="0" applyFill="0" applyBorder="0" applyAlignment="0" applyProtection="0"/>
    <xf numFmtId="231" fontId="197" fillId="0" borderId="0" applyFont="0" applyFill="0" applyBorder="0" applyAlignment="0" applyProtection="0"/>
    <xf numFmtId="214" fontId="97" fillId="0" borderId="0"/>
    <xf numFmtId="38" fontId="159" fillId="0" borderId="0">
      <alignment vertical="center"/>
    </xf>
    <xf numFmtId="214" fontId="198" fillId="0" borderId="0"/>
    <xf numFmtId="230" fontId="58" fillId="0" borderId="0" applyFont="0" applyFill="0" applyBorder="0" applyAlignment="0" applyProtection="0"/>
    <xf numFmtId="231" fontId="58" fillId="0" borderId="0" applyFont="0" applyFill="0" applyBorder="0" applyAlignment="0" applyProtection="0"/>
    <xf numFmtId="38" fontId="198" fillId="0" borderId="0" applyFont="0" applyFill="0" applyBorder="0" applyAlignment="0" applyProtection="0"/>
    <xf numFmtId="40" fontId="198" fillId="0" borderId="0" applyFont="0" applyFill="0" applyBorder="0" applyAlignment="0" applyProtection="0"/>
    <xf numFmtId="204" fontId="158" fillId="0" borderId="0" applyFont="0" applyFill="0" applyBorder="0" applyAlignment="0" applyProtection="0"/>
    <xf numFmtId="199" fontId="158" fillId="0" borderId="0" applyFont="0" applyFill="0" applyBorder="0" applyAlignment="0" applyProtection="0"/>
    <xf numFmtId="214" fontId="58" fillId="0" borderId="0"/>
    <xf numFmtId="214" fontId="199" fillId="0" borderId="0"/>
    <xf numFmtId="214" fontId="162" fillId="0" borderId="0"/>
    <xf numFmtId="214" fontId="200" fillId="0" borderId="0"/>
    <xf numFmtId="40" fontId="201" fillId="0" borderId="0" applyFont="0" applyFill="0" applyBorder="0" applyAlignment="0" applyProtection="0"/>
    <xf numFmtId="230" fontId="58" fillId="0" borderId="0" applyFont="0" applyFill="0" applyBorder="0" applyAlignment="0" applyProtection="0"/>
    <xf numFmtId="214" fontId="202" fillId="0" borderId="0"/>
    <xf numFmtId="214" fontId="203" fillId="0" borderId="0" applyNumberFormat="0" applyFill="0" applyBorder="0" applyAlignment="0" applyProtection="0">
      <alignment vertical="center"/>
    </xf>
    <xf numFmtId="214" fontId="204" fillId="0" borderId="74" applyNumberFormat="0" applyFill="0" applyAlignment="0" applyProtection="0">
      <alignment vertical="center"/>
    </xf>
    <xf numFmtId="214" fontId="205" fillId="0" borderId="75" applyNumberFormat="0" applyFill="0" applyAlignment="0" applyProtection="0">
      <alignment vertical="center"/>
    </xf>
    <xf numFmtId="214" fontId="206" fillId="0" borderId="76" applyNumberFormat="0" applyFill="0" applyAlignment="0" applyProtection="0">
      <alignment vertical="center"/>
    </xf>
    <xf numFmtId="214" fontId="206" fillId="0" borderId="0" applyNumberFormat="0" applyFill="0" applyBorder="0" applyAlignment="0" applyProtection="0">
      <alignment vertical="center"/>
    </xf>
    <xf numFmtId="214" fontId="207" fillId="63" borderId="77" applyNumberFormat="0" applyAlignment="0" applyProtection="0">
      <alignment vertical="center"/>
    </xf>
    <xf numFmtId="214" fontId="208" fillId="0" borderId="0"/>
    <xf numFmtId="232" fontId="209" fillId="0" borderId="0" applyFont="0" applyFill="0" applyBorder="0" applyAlignment="0" applyProtection="0"/>
    <xf numFmtId="233" fontId="209" fillId="0" borderId="0" applyFont="0" applyFill="0" applyBorder="0" applyAlignment="0" applyProtection="0"/>
    <xf numFmtId="214" fontId="210" fillId="64" borderId="78" applyNumberFormat="0" applyAlignment="0" applyProtection="0">
      <alignment vertical="center"/>
    </xf>
    <xf numFmtId="214" fontId="211" fillId="0" borderId="0" applyNumberFormat="0" applyFill="0" applyBorder="0" applyAlignment="0" applyProtection="0">
      <alignment vertical="center"/>
    </xf>
    <xf numFmtId="214" fontId="212" fillId="0" borderId="0" applyNumberFormat="0" applyFill="0" applyBorder="0" applyAlignment="0" applyProtection="0">
      <alignment vertical="center"/>
    </xf>
    <xf numFmtId="222" fontId="158" fillId="0" borderId="0" applyFont="0" applyFill="0" applyBorder="0" applyAlignment="0" applyProtection="0"/>
    <xf numFmtId="214" fontId="167" fillId="65" borderId="0" applyNumberFormat="0" applyBorder="0" applyAlignment="0" applyProtection="0">
      <alignment vertical="center"/>
    </xf>
    <xf numFmtId="214" fontId="167" fillId="66" borderId="0" applyNumberFormat="0" applyBorder="0" applyAlignment="0" applyProtection="0">
      <alignment vertical="center"/>
    </xf>
    <xf numFmtId="214" fontId="167" fillId="67" borderId="0" applyNumberFormat="0" applyBorder="0" applyAlignment="0" applyProtection="0">
      <alignment vertical="center"/>
    </xf>
    <xf numFmtId="214" fontId="167" fillId="54" borderId="0" applyNumberFormat="0" applyBorder="0" applyAlignment="0" applyProtection="0">
      <alignment vertical="center"/>
    </xf>
    <xf numFmtId="214" fontId="167" fillId="55" borderId="0" applyNumberFormat="0" applyBorder="0" applyAlignment="0" applyProtection="0">
      <alignment vertical="center"/>
    </xf>
    <xf numFmtId="214" fontId="167" fillId="68" borderId="0" applyNumberFormat="0" applyBorder="0" applyAlignment="0" applyProtection="0">
      <alignment vertical="center"/>
    </xf>
    <xf numFmtId="214" fontId="213" fillId="48" borderId="78" applyNumberFormat="0" applyAlignment="0" applyProtection="0">
      <alignment vertical="center"/>
    </xf>
    <xf numFmtId="214" fontId="214" fillId="64" borderId="79" applyNumberFormat="0" applyAlignment="0" applyProtection="0">
      <alignment vertical="center"/>
    </xf>
    <xf numFmtId="234" fontId="201" fillId="0" borderId="0" applyFont="0" applyFill="0" applyBorder="0" applyAlignment="0" applyProtection="0"/>
    <xf numFmtId="235" fontId="201" fillId="0" borderId="0" applyFont="0" applyFill="0" applyBorder="0" applyAlignment="0" applyProtection="0"/>
    <xf numFmtId="214" fontId="215" fillId="0" borderId="80" applyNumberFormat="0" applyFill="0" applyAlignment="0" applyProtection="0">
      <alignment vertical="center"/>
    </xf>
    <xf numFmtId="214" fontId="216" fillId="0" borderId="0"/>
    <xf numFmtId="230" fontId="209" fillId="0" borderId="0" applyFont="0" applyFill="0" applyBorder="0" applyAlignment="0" applyProtection="0"/>
    <xf numFmtId="231" fontId="209" fillId="0" borderId="0" applyFont="0" applyFill="0" applyBorder="0" applyAlignment="0" applyProtection="0"/>
    <xf numFmtId="232" fontId="197" fillId="0" borderId="0" applyFont="0" applyFill="0" applyBorder="0" applyAlignment="0" applyProtection="0"/>
    <xf numFmtId="233" fontId="197" fillId="0" borderId="0" applyFont="0" applyFill="0" applyBorder="0" applyAlignment="0" applyProtection="0"/>
    <xf numFmtId="237" fontId="48" fillId="0" borderId="0"/>
    <xf numFmtId="237" fontId="58" fillId="0" borderId="0"/>
    <xf numFmtId="43" fontId="56" fillId="0" borderId="0" applyFont="0" applyFill="0" applyBorder="0" applyAlignment="0" applyProtection="0"/>
    <xf numFmtId="189" fontId="56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202" fontId="96" fillId="0" borderId="82" applyNumberFormat="0" applyBorder="0" applyAlignment="0">
      <alignment horizontal="center"/>
    </xf>
    <xf numFmtId="207" fontId="30" fillId="0" borderId="0"/>
    <xf numFmtId="0" fontId="30" fillId="0" borderId="0"/>
    <xf numFmtId="0" fontId="30" fillId="0" borderId="0"/>
    <xf numFmtId="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200" fontId="30" fillId="0" borderId="0"/>
    <xf numFmtId="200" fontId="30" fillId="0" borderId="0"/>
    <xf numFmtId="200" fontId="30" fillId="0" borderId="0"/>
    <xf numFmtId="200" fontId="30" fillId="0" borderId="0"/>
    <xf numFmtId="43" fontId="30" fillId="0" borderId="0" applyFont="0" applyFill="0" applyBorder="0" applyAlignment="0" applyProtection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7" fontId="30" fillId="0" borderId="0"/>
    <xf numFmtId="200" fontId="30" fillId="0" borderId="0"/>
    <xf numFmtId="0" fontId="30" fillId="0" borderId="0"/>
    <xf numFmtId="43" fontId="30" fillId="0" borderId="0" applyFont="0" applyFill="0" applyBorder="0" applyAlignment="0" applyProtection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7" fontId="30" fillId="0" borderId="0"/>
    <xf numFmtId="200" fontId="30" fillId="0" borderId="0"/>
    <xf numFmtId="0" fontId="30" fillId="0" borderId="0"/>
    <xf numFmtId="0" fontId="30" fillId="0" borderId="0"/>
    <xf numFmtId="200" fontId="30" fillId="0" borderId="0"/>
    <xf numFmtId="207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43" fontId="30" fillId="0" borderId="0" applyFont="0" applyFill="0" applyBorder="0" applyAlignment="0" applyProtection="0"/>
    <xf numFmtId="200" fontId="30" fillId="0" borderId="0"/>
    <xf numFmtId="200" fontId="30" fillId="0" borderId="0"/>
    <xf numFmtId="214" fontId="30" fillId="0" borderId="0"/>
    <xf numFmtId="189" fontId="30" fillId="0" borderId="0" applyFont="0" applyFill="0" applyBorder="0" applyAlignment="0" applyProtection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0" fontId="30" fillId="0" borderId="0"/>
    <xf numFmtId="200" fontId="30" fillId="0" borderId="0"/>
    <xf numFmtId="0" fontId="30" fillId="0" borderId="0"/>
    <xf numFmtId="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0" fontId="30" fillId="0" borderId="0"/>
    <xf numFmtId="200" fontId="30" fillId="0" borderId="0"/>
    <xf numFmtId="200" fontId="30" fillId="0" borderId="0"/>
    <xf numFmtId="200" fontId="30" fillId="0" borderId="0"/>
    <xf numFmtId="9" fontId="30" fillId="0" borderId="0" applyFont="0" applyFill="0" applyBorder="0" applyAlignment="0" applyProtection="0"/>
    <xf numFmtId="200" fontId="30" fillId="0" borderId="0"/>
    <xf numFmtId="200" fontId="30" fillId="0" borderId="0"/>
    <xf numFmtId="200" fontId="30" fillId="0" borderId="0"/>
    <xf numFmtId="0" fontId="30" fillId="0" borderId="0"/>
    <xf numFmtId="0" fontId="30" fillId="0" borderId="0"/>
    <xf numFmtId="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0" fontId="30" fillId="0" borderId="0"/>
    <xf numFmtId="200" fontId="30" fillId="0" borderId="0"/>
    <xf numFmtId="9" fontId="30" fillId="0" borderId="0" applyFont="0" applyFill="0" applyBorder="0" applyAlignment="0" applyProtection="0"/>
    <xf numFmtId="0" fontId="30" fillId="0" borderId="0"/>
    <xf numFmtId="200" fontId="30" fillId="0" borderId="0"/>
    <xf numFmtId="0" fontId="30" fillId="0" borderId="0"/>
    <xf numFmtId="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9" fontId="30" fillId="0" borderId="0" applyFont="0" applyFill="0" applyBorder="0" applyAlignment="0" applyProtection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00" fontId="30" fillId="0" borderId="0"/>
    <xf numFmtId="214" fontId="30" fillId="0" borderId="0"/>
    <xf numFmtId="214" fontId="30" fillId="0" borderId="0"/>
    <xf numFmtId="189" fontId="30" fillId="0" borderId="0" applyFont="0" applyFill="0" applyBorder="0" applyAlignment="0" applyProtection="0"/>
    <xf numFmtId="214" fontId="30" fillId="0" borderId="0"/>
    <xf numFmtId="9" fontId="30" fillId="0" borderId="0" applyFont="0" applyFill="0" applyBorder="0" applyAlignment="0" applyProtection="0"/>
    <xf numFmtId="214" fontId="30" fillId="0" borderId="0"/>
    <xf numFmtId="214" fontId="30" fillId="0" borderId="0"/>
    <xf numFmtId="214" fontId="30" fillId="0" borderId="0"/>
    <xf numFmtId="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214" fontId="30" fillId="0" borderId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189" fontId="30" fillId="0" borderId="0" applyFont="0" applyFill="0" applyBorder="0" applyAlignment="0" applyProtection="0"/>
    <xf numFmtId="214" fontId="175" fillId="0" borderId="98">
      <alignment horizontal="left" vertical="center"/>
    </xf>
    <xf numFmtId="10" fontId="104" fillId="21" borderId="84" applyNumberFormat="0" applyBorder="0" applyAlignment="0" applyProtection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0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42" borderId="70" applyNumberFormat="0" applyFont="0" applyAlignment="0" applyProtection="0"/>
    <xf numFmtId="214" fontId="30" fillId="42" borderId="70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214" fontId="174" fillId="0" borderId="98" applyNumberFormat="0" applyFill="0" applyBorder="0" applyAlignment="0" applyProtection="0">
      <alignment horizontal="centerContinuous"/>
    </xf>
    <xf numFmtId="214" fontId="181" fillId="0" borderId="98" applyNumberFormat="0" applyFill="0" applyBorder="0" applyAlignment="0" applyProtection="0">
      <alignment horizontal="centerContinuous"/>
    </xf>
    <xf numFmtId="200" fontId="26" fillId="0" borderId="0"/>
    <xf numFmtId="200" fontId="26" fillId="0" borderId="0"/>
    <xf numFmtId="189" fontId="98" fillId="0" borderId="0" applyFont="0" applyFill="0" applyBorder="0" applyAlignment="0" applyProtection="0"/>
    <xf numFmtId="189" fontId="26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98" fillId="0" borderId="0" applyFont="0" applyFill="0" applyBorder="0" applyAlignment="0" applyProtection="0"/>
    <xf numFmtId="189" fontId="98" fillId="0" borderId="0" applyFont="0" applyFill="0" applyBorder="0" applyAlignment="0" applyProtection="0"/>
    <xf numFmtId="214" fontId="98" fillId="0" borderId="0"/>
    <xf numFmtId="214" fontId="26" fillId="0" borderId="0"/>
    <xf numFmtId="187" fontId="98" fillId="0" borderId="0"/>
    <xf numFmtId="187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0" fontId="98" fillId="0" borderId="0"/>
    <xf numFmtId="203" fontId="98" fillId="0" borderId="0"/>
    <xf numFmtId="202" fontId="98" fillId="0" borderId="0"/>
    <xf numFmtId="202" fontId="98" fillId="0" borderId="0"/>
    <xf numFmtId="202" fontId="98" fillId="0" borderId="0"/>
    <xf numFmtId="202" fontId="98" fillId="0" borderId="0"/>
    <xf numFmtId="202" fontId="98" fillId="0" borderId="0"/>
    <xf numFmtId="202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14" fontId="98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98" fillId="0" borderId="0"/>
    <xf numFmtId="214" fontId="98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98" fillId="0" borderId="0"/>
    <xf numFmtId="214" fontId="98" fillId="0" borderId="0"/>
    <xf numFmtId="214" fontId="26" fillId="0" borderId="0"/>
    <xf numFmtId="214" fontId="26" fillId="0" borderId="0"/>
    <xf numFmtId="214" fontId="98" fillId="0" borderId="0"/>
    <xf numFmtId="214" fontId="26" fillId="0" borderId="0"/>
    <xf numFmtId="200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98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98" fillId="0" borderId="0"/>
    <xf numFmtId="214" fontId="98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98" fillId="0" borderId="0"/>
    <xf numFmtId="214" fontId="98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98" fillId="0" borderId="0"/>
    <xf numFmtId="214" fontId="98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98" fillId="0" borderId="0"/>
    <xf numFmtId="214" fontId="98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58" fillId="0" borderId="0"/>
    <xf numFmtId="214" fontId="5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44" fontId="58" fillId="0" borderId="0"/>
    <xf numFmtId="244" fontId="58" fillId="0" borderId="0"/>
    <xf numFmtId="244" fontId="58" fillId="0" borderId="0"/>
    <xf numFmtId="244" fontId="58" fillId="0" borderId="0"/>
    <xf numFmtId="24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0" fontId="58" fillId="0" borderId="0"/>
    <xf numFmtId="214" fontId="5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5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58" fillId="0" borderId="0"/>
    <xf numFmtId="214" fontId="5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147" fillId="0" borderId="0"/>
    <xf numFmtId="214" fontId="147" fillId="0" borderId="0"/>
    <xf numFmtId="214" fontId="147" fillId="0" borderId="0"/>
    <xf numFmtId="214" fontId="147" fillId="0" borderId="0"/>
    <xf numFmtId="214" fontId="147" fillId="0" borderId="0"/>
    <xf numFmtId="214" fontId="147" fillId="0" borderId="0"/>
    <xf numFmtId="214" fontId="147" fillId="0" borderId="0"/>
    <xf numFmtId="214" fontId="26" fillId="0" borderId="0"/>
    <xf numFmtId="214" fontId="26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58" fillId="0" borderId="0"/>
    <xf numFmtId="214" fontId="98" fillId="0" borderId="0"/>
    <xf numFmtId="214" fontId="98" fillId="0" borderId="0"/>
    <xf numFmtId="245" fontId="5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5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5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58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77" fillId="0" borderId="0"/>
    <xf numFmtId="214" fontId="277" fillId="0" borderId="0"/>
    <xf numFmtId="214" fontId="277" fillId="0" borderId="0"/>
    <xf numFmtId="214" fontId="48" fillId="0" borderId="0"/>
    <xf numFmtId="214" fontId="48" fillId="0" borderId="0"/>
    <xf numFmtId="214" fontId="48" fillId="0" borderId="0"/>
    <xf numFmtId="214" fontId="48" fillId="0" borderId="0"/>
    <xf numFmtId="214" fontId="277" fillId="0" borderId="0"/>
    <xf numFmtId="214" fontId="277" fillId="0" borderId="0"/>
    <xf numFmtId="214" fontId="277" fillId="0" borderId="0"/>
    <xf numFmtId="214" fontId="277" fillId="0" borderId="0"/>
    <xf numFmtId="214" fontId="277" fillId="0" borderId="0"/>
    <xf numFmtId="214" fontId="277" fillId="0" borderId="0"/>
    <xf numFmtId="214" fontId="277" fillId="0" borderId="0"/>
    <xf numFmtId="214" fontId="277" fillId="0" borderId="0"/>
    <xf numFmtId="214" fontId="277" fillId="0" borderId="0"/>
    <xf numFmtId="214" fontId="277" fillId="0" borderId="0"/>
    <xf numFmtId="214" fontId="277" fillId="0" borderId="0"/>
    <xf numFmtId="214" fontId="277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77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26" fillId="0" borderId="0"/>
    <xf numFmtId="214" fontId="26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26" fillId="0" borderId="0"/>
    <xf numFmtId="214" fontId="26" fillId="0" borderId="0"/>
    <xf numFmtId="214" fontId="58" fillId="0" borderId="0"/>
    <xf numFmtId="214" fontId="58" fillId="0" borderId="0"/>
    <xf numFmtId="214" fontId="58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0" fontId="26" fillId="0" borderId="0"/>
    <xf numFmtId="210" fontId="26" fillId="0" borderId="0"/>
    <xf numFmtId="210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26" fillId="0" borderId="0"/>
    <xf numFmtId="214" fontId="26" fillId="0" borderId="0"/>
    <xf numFmtId="214" fontId="58" fillId="0" borderId="0"/>
    <xf numFmtId="214" fontId="58" fillId="0" borderId="0"/>
    <xf numFmtId="244" fontId="58" fillId="0" borderId="0"/>
    <xf numFmtId="244" fontId="58" fillId="0" borderId="0"/>
    <xf numFmtId="244" fontId="58" fillId="0" borderId="0"/>
    <xf numFmtId="244" fontId="58" fillId="0" borderId="0"/>
    <xf numFmtId="244" fontId="58" fillId="0" borderId="0"/>
    <xf numFmtId="214" fontId="58" fillId="0" borderId="0"/>
    <xf numFmtId="244" fontId="58" fillId="0" borderId="0"/>
    <xf numFmtId="244" fontId="58" fillId="0" borderId="0"/>
    <xf numFmtId="214" fontId="58" fillId="0" borderId="0"/>
    <xf numFmtId="244" fontId="58" fillId="0" borderId="0"/>
    <xf numFmtId="244" fontId="58" fillId="0" borderId="0"/>
    <xf numFmtId="244" fontId="58" fillId="0" borderId="0"/>
    <xf numFmtId="214" fontId="58" fillId="0" borderId="0"/>
    <xf numFmtId="244" fontId="58" fillId="0" borderId="0"/>
    <xf numFmtId="24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5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02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0" fontId="98" fillId="0" borderId="0"/>
    <xf numFmtId="203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26" fillId="0" borderId="0"/>
    <xf numFmtId="214" fontId="98" fillId="0" borderId="0"/>
    <xf numFmtId="214" fontId="26" fillId="0" borderId="0"/>
    <xf numFmtId="214" fontId="26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0" fontId="98" fillId="0" borderId="0"/>
    <xf numFmtId="214" fontId="98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58" fillId="0" borderId="0"/>
    <xf numFmtId="214" fontId="98" fillId="0" borderId="0"/>
    <xf numFmtId="214" fontId="98" fillId="0" borderId="0"/>
    <xf numFmtId="214" fontId="277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98" fillId="0" borderId="0"/>
    <xf numFmtId="214" fontId="26" fillId="0" borderId="0"/>
    <xf numFmtId="0" fontId="169" fillId="0" borderId="0"/>
    <xf numFmtId="214" fontId="98" fillId="0" borderId="0"/>
    <xf numFmtId="214" fontId="98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0" fontId="26" fillId="0" borderId="0"/>
    <xf numFmtId="210" fontId="26" fillId="0" borderId="0"/>
    <xf numFmtId="210" fontId="26" fillId="0" borderId="0"/>
    <xf numFmtId="210" fontId="26" fillId="0" borderId="0"/>
    <xf numFmtId="210" fontId="26" fillId="0" borderId="0"/>
    <xf numFmtId="210" fontId="26" fillId="0" borderId="0"/>
    <xf numFmtId="210" fontId="26" fillId="0" borderId="0"/>
    <xf numFmtId="210" fontId="26" fillId="0" borderId="0"/>
    <xf numFmtId="210" fontId="26" fillId="0" borderId="0"/>
    <xf numFmtId="210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0" fontId="26" fillId="0" borderId="0"/>
    <xf numFmtId="210" fontId="26" fillId="0" borderId="0"/>
    <xf numFmtId="210" fontId="26" fillId="0" borderId="0"/>
    <xf numFmtId="210" fontId="26" fillId="0" borderId="0"/>
    <xf numFmtId="210" fontId="26" fillId="0" borderId="0"/>
    <xf numFmtId="210" fontId="26" fillId="0" borderId="0"/>
    <xf numFmtId="210" fontId="26" fillId="0" borderId="0"/>
    <xf numFmtId="210" fontId="26" fillId="0" borderId="0"/>
    <xf numFmtId="210" fontId="26" fillId="0" borderId="0"/>
    <xf numFmtId="210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0" fontId="26" fillId="0" borderId="0"/>
    <xf numFmtId="210" fontId="26" fillId="0" borderId="0"/>
    <xf numFmtId="210" fontId="26" fillId="0" borderId="0"/>
    <xf numFmtId="210" fontId="26" fillId="0" borderId="0"/>
    <xf numFmtId="21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0" fontId="26" fillId="0" borderId="0"/>
    <xf numFmtId="0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169" fillId="0" borderId="0"/>
    <xf numFmtId="214" fontId="26" fillId="0" borderId="0"/>
    <xf numFmtId="214" fontId="98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98" fillId="0" borderId="0"/>
    <xf numFmtId="0" fontId="169" fillId="0" borderId="0"/>
    <xf numFmtId="0" fontId="169" fillId="0" borderId="0"/>
    <xf numFmtId="0" fontId="169" fillId="0" borderId="0"/>
    <xf numFmtId="0" fontId="169" fillId="0" borderId="0"/>
    <xf numFmtId="0" fontId="169" fillId="0" borderId="0"/>
    <xf numFmtId="0" fontId="169" fillId="0" borderId="0"/>
    <xf numFmtId="0" fontId="169" fillId="0" borderId="0"/>
    <xf numFmtId="0" fontId="169" fillId="0" borderId="0"/>
    <xf numFmtId="0" fontId="169" fillId="0" borderId="0"/>
    <xf numFmtId="0" fontId="169" fillId="0" borderId="0"/>
    <xf numFmtId="0" fontId="169" fillId="0" borderId="0"/>
    <xf numFmtId="0" fontId="169" fillId="0" borderId="0"/>
    <xf numFmtId="0" fontId="169" fillId="0" borderId="0"/>
    <xf numFmtId="0" fontId="169" fillId="0" borderId="0"/>
    <xf numFmtId="0" fontId="169" fillId="0" borderId="0"/>
    <xf numFmtId="0" fontId="26" fillId="0" borderId="0"/>
    <xf numFmtId="0" fontId="26" fillId="0" borderId="0"/>
    <xf numFmtId="210" fontId="169" fillId="0" borderId="0"/>
    <xf numFmtId="0" fontId="26" fillId="0" borderId="0"/>
    <xf numFmtId="0" fontId="26" fillId="0" borderId="0"/>
    <xf numFmtId="214" fontId="98" fillId="0" borderId="0"/>
    <xf numFmtId="214" fontId="98" fillId="0" borderId="0"/>
    <xf numFmtId="0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14" fontId="58" fillId="0" borderId="0"/>
    <xf numFmtId="214" fontId="27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45" fontId="5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14" fontId="58" fillId="0" borderId="0"/>
    <xf numFmtId="214" fontId="58" fillId="0" borderId="0"/>
    <xf numFmtId="214" fontId="98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98" fillId="0" borderId="0"/>
    <xf numFmtId="214" fontId="27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98" fillId="0" borderId="0" applyFont="0" applyFill="0" applyBorder="0" applyAlignment="0" applyProtection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46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46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46" fontId="98" fillId="0" borderId="0"/>
    <xf numFmtId="214" fontId="98" fillId="0" borderId="0"/>
    <xf numFmtId="214" fontId="98" fillId="0" borderId="0"/>
    <xf numFmtId="214" fontId="98" fillId="0" borderId="0"/>
    <xf numFmtId="214" fontId="98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14" fontId="26" fillId="0" borderId="0"/>
    <xf numFmtId="246" fontId="98" fillId="0" borderId="0"/>
    <xf numFmtId="246" fontId="98" fillId="0" borderId="0"/>
    <xf numFmtId="246" fontId="98" fillId="0" borderId="0"/>
    <xf numFmtId="214" fontId="98" fillId="0" borderId="0"/>
    <xf numFmtId="187" fontId="98" fillId="0" borderId="0"/>
    <xf numFmtId="187" fontId="98" fillId="0" borderId="0"/>
    <xf numFmtId="187" fontId="98" fillId="0" borderId="0"/>
    <xf numFmtId="187" fontId="98" fillId="0" borderId="0"/>
    <xf numFmtId="187" fontId="98" fillId="0" borderId="0"/>
    <xf numFmtId="187" fontId="98" fillId="0" borderId="0"/>
    <xf numFmtId="187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14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14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14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14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14" fontId="98" fillId="0" borderId="0"/>
    <xf numFmtId="189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189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189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46" fontId="98" fillId="0" borderId="0"/>
    <xf numFmtId="214" fontId="99" fillId="0" borderId="0"/>
    <xf numFmtId="214" fontId="99" fillId="0" borderId="0"/>
    <xf numFmtId="237" fontId="48" fillId="0" borderId="0"/>
    <xf numFmtId="0" fontId="280" fillId="43" borderId="0" applyNumberFormat="0" applyBorder="0" applyAlignment="0" applyProtection="0"/>
    <xf numFmtId="0" fontId="280" fillId="43" borderId="0" applyNumberFormat="0" applyBorder="0" applyAlignment="0" applyProtection="0"/>
    <xf numFmtId="0" fontId="280" fillId="44" borderId="0" applyNumberFormat="0" applyBorder="0" applyAlignment="0" applyProtection="0"/>
    <xf numFmtId="0" fontId="280" fillId="44" borderId="0" applyNumberFormat="0" applyBorder="0" applyAlignment="0" applyProtection="0"/>
    <xf numFmtId="0" fontId="280" fillId="45" borderId="0" applyNumberFormat="0" applyBorder="0" applyAlignment="0" applyProtection="0"/>
    <xf numFmtId="0" fontId="280" fillId="45" borderId="0" applyNumberFormat="0" applyBorder="0" applyAlignment="0" applyProtection="0"/>
    <xf numFmtId="0" fontId="280" fillId="46" borderId="0" applyNumberFormat="0" applyBorder="0" applyAlignment="0" applyProtection="0"/>
    <xf numFmtId="0" fontId="280" fillId="46" borderId="0" applyNumberFormat="0" applyBorder="0" applyAlignment="0" applyProtection="0"/>
    <xf numFmtId="0" fontId="280" fillId="47" borderId="0" applyNumberFormat="0" applyBorder="0" applyAlignment="0" applyProtection="0"/>
    <xf numFmtId="0" fontId="280" fillId="47" borderId="0" applyNumberFormat="0" applyBorder="0" applyAlignment="0" applyProtection="0"/>
    <xf numFmtId="0" fontId="280" fillId="48" borderId="0" applyNumberFormat="0" applyBorder="0" applyAlignment="0" applyProtection="0"/>
    <xf numFmtId="0" fontId="280" fillId="48" borderId="0" applyNumberFormat="0" applyBorder="0" applyAlignment="0" applyProtection="0"/>
    <xf numFmtId="0" fontId="280" fillId="43" borderId="0" applyNumberFormat="0" applyBorder="0" applyAlignment="0" applyProtection="0"/>
    <xf numFmtId="0" fontId="280" fillId="44" borderId="0" applyNumberFormat="0" applyBorder="0" applyAlignment="0" applyProtection="0"/>
    <xf numFmtId="0" fontId="280" fillId="45" borderId="0" applyNumberFormat="0" applyBorder="0" applyAlignment="0" applyProtection="0"/>
    <xf numFmtId="0" fontId="280" fillId="46" borderId="0" applyNumberFormat="0" applyBorder="0" applyAlignment="0" applyProtection="0"/>
    <xf numFmtId="0" fontId="280" fillId="47" borderId="0" applyNumberFormat="0" applyBorder="0" applyAlignment="0" applyProtection="0"/>
    <xf numFmtId="0" fontId="280" fillId="48" borderId="0" applyNumberFormat="0" applyBorder="0" applyAlignment="0" applyProtection="0"/>
    <xf numFmtId="0" fontId="280" fillId="49" borderId="0" applyNumberFormat="0" applyBorder="0" applyAlignment="0" applyProtection="0"/>
    <xf numFmtId="0" fontId="280" fillId="49" borderId="0" applyNumberFormat="0" applyBorder="0" applyAlignment="0" applyProtection="0"/>
    <xf numFmtId="0" fontId="280" fillId="50" borderId="0" applyNumberFormat="0" applyBorder="0" applyAlignment="0" applyProtection="0"/>
    <xf numFmtId="0" fontId="280" fillId="50" borderId="0" applyNumberFormat="0" applyBorder="0" applyAlignment="0" applyProtection="0"/>
    <xf numFmtId="0" fontId="280" fillId="51" borderId="0" applyNumberFormat="0" applyBorder="0" applyAlignment="0" applyProtection="0"/>
    <xf numFmtId="0" fontId="280" fillId="51" borderId="0" applyNumberFormat="0" applyBorder="0" applyAlignment="0" applyProtection="0"/>
    <xf numFmtId="0" fontId="280" fillId="46" borderId="0" applyNumberFormat="0" applyBorder="0" applyAlignment="0" applyProtection="0"/>
    <xf numFmtId="0" fontId="280" fillId="46" borderId="0" applyNumberFormat="0" applyBorder="0" applyAlignment="0" applyProtection="0"/>
    <xf numFmtId="0" fontId="280" fillId="49" borderId="0" applyNumberFormat="0" applyBorder="0" applyAlignment="0" applyProtection="0"/>
    <xf numFmtId="0" fontId="280" fillId="49" borderId="0" applyNumberFormat="0" applyBorder="0" applyAlignment="0" applyProtection="0"/>
    <xf numFmtId="0" fontId="280" fillId="52" borderId="0" applyNumberFormat="0" applyBorder="0" applyAlignment="0" applyProtection="0"/>
    <xf numFmtId="0" fontId="280" fillId="52" borderId="0" applyNumberFormat="0" applyBorder="0" applyAlignment="0" applyProtection="0"/>
    <xf numFmtId="0" fontId="280" fillId="49" borderId="0" applyNumberFormat="0" applyBorder="0" applyAlignment="0" applyProtection="0"/>
    <xf numFmtId="0" fontId="280" fillId="50" borderId="0" applyNumberFormat="0" applyBorder="0" applyAlignment="0" applyProtection="0"/>
    <xf numFmtId="0" fontId="280" fillId="51" borderId="0" applyNumberFormat="0" applyBorder="0" applyAlignment="0" applyProtection="0"/>
    <xf numFmtId="0" fontId="280" fillId="46" borderId="0" applyNumberFormat="0" applyBorder="0" applyAlignment="0" applyProtection="0"/>
    <xf numFmtId="0" fontId="280" fillId="49" borderId="0" applyNumberFormat="0" applyBorder="0" applyAlignment="0" applyProtection="0"/>
    <xf numFmtId="0" fontId="280" fillId="52" borderId="0" applyNumberFormat="0" applyBorder="0" applyAlignment="0" applyProtection="0"/>
    <xf numFmtId="0" fontId="281" fillId="53" borderId="0" applyNumberFormat="0" applyBorder="0" applyAlignment="0" applyProtection="0"/>
    <xf numFmtId="0" fontId="281" fillId="53" borderId="0" applyNumberFormat="0" applyBorder="0" applyAlignment="0" applyProtection="0"/>
    <xf numFmtId="0" fontId="281" fillId="50" borderId="0" applyNumberFormat="0" applyBorder="0" applyAlignment="0" applyProtection="0"/>
    <xf numFmtId="0" fontId="281" fillId="50" borderId="0" applyNumberFormat="0" applyBorder="0" applyAlignment="0" applyProtection="0"/>
    <xf numFmtId="0" fontId="281" fillId="51" borderId="0" applyNumberFormat="0" applyBorder="0" applyAlignment="0" applyProtection="0"/>
    <xf numFmtId="0" fontId="281" fillId="51" borderId="0" applyNumberFormat="0" applyBorder="0" applyAlignment="0" applyProtection="0"/>
    <xf numFmtId="0" fontId="281" fillId="54" borderId="0" applyNumberFormat="0" applyBorder="0" applyAlignment="0" applyProtection="0"/>
    <xf numFmtId="0" fontId="281" fillId="54" borderId="0" applyNumberFormat="0" applyBorder="0" applyAlignment="0" applyProtection="0"/>
    <xf numFmtId="0" fontId="281" fillId="55" borderId="0" applyNumberFormat="0" applyBorder="0" applyAlignment="0" applyProtection="0"/>
    <xf numFmtId="0" fontId="281" fillId="55" borderId="0" applyNumberFormat="0" applyBorder="0" applyAlignment="0" applyProtection="0"/>
    <xf numFmtId="0" fontId="281" fillId="56" borderId="0" applyNumberFormat="0" applyBorder="0" applyAlignment="0" applyProtection="0"/>
    <xf numFmtId="0" fontId="281" fillId="56" borderId="0" applyNumberFormat="0" applyBorder="0" applyAlignment="0" applyProtection="0"/>
    <xf numFmtId="0" fontId="281" fillId="53" borderId="0" applyNumberFormat="0" applyBorder="0" applyAlignment="0" applyProtection="0"/>
    <xf numFmtId="0" fontId="281" fillId="50" borderId="0" applyNumberFormat="0" applyBorder="0" applyAlignment="0" applyProtection="0"/>
    <xf numFmtId="0" fontId="281" fillId="51" borderId="0" applyNumberFormat="0" applyBorder="0" applyAlignment="0" applyProtection="0"/>
    <xf numFmtId="0" fontId="281" fillId="54" borderId="0" applyNumberFormat="0" applyBorder="0" applyAlignment="0" applyProtection="0"/>
    <xf numFmtId="0" fontId="281" fillId="55" borderId="0" applyNumberFormat="0" applyBorder="0" applyAlignment="0" applyProtection="0"/>
    <xf numFmtId="0" fontId="281" fillId="56" borderId="0" applyNumberFormat="0" applyBorder="0" applyAlignment="0" applyProtection="0"/>
    <xf numFmtId="0" fontId="281" fillId="65" borderId="0" applyNumberFormat="0" applyBorder="0" applyAlignment="0" applyProtection="0"/>
    <xf numFmtId="0" fontId="281" fillId="65" borderId="0" applyNumberFormat="0" applyBorder="0" applyAlignment="0" applyProtection="0"/>
    <xf numFmtId="0" fontId="281" fillId="66" borderId="0" applyNumberFormat="0" applyBorder="0" applyAlignment="0" applyProtection="0"/>
    <xf numFmtId="0" fontId="281" fillId="66" borderId="0" applyNumberFormat="0" applyBorder="0" applyAlignment="0" applyProtection="0"/>
    <xf numFmtId="0" fontId="281" fillId="67" borderId="0" applyNumberFormat="0" applyBorder="0" applyAlignment="0" applyProtection="0"/>
    <xf numFmtId="0" fontId="281" fillId="67" borderId="0" applyNumberFormat="0" applyBorder="0" applyAlignment="0" applyProtection="0"/>
    <xf numFmtId="0" fontId="281" fillId="54" borderId="0" applyNumberFormat="0" applyBorder="0" applyAlignment="0" applyProtection="0"/>
    <xf numFmtId="0" fontId="281" fillId="54" borderId="0" applyNumberFormat="0" applyBorder="0" applyAlignment="0" applyProtection="0"/>
    <xf numFmtId="0" fontId="281" fillId="55" borderId="0" applyNumberFormat="0" applyBorder="0" applyAlignment="0" applyProtection="0"/>
    <xf numFmtId="0" fontId="281" fillId="55" borderId="0" applyNumberFormat="0" applyBorder="0" applyAlignment="0" applyProtection="0"/>
    <xf numFmtId="0" fontId="281" fillId="68" borderId="0" applyNumberFormat="0" applyBorder="0" applyAlignment="0" applyProtection="0"/>
    <xf numFmtId="0" fontId="281" fillId="68" borderId="0" applyNumberFormat="0" applyBorder="0" applyAlignment="0" applyProtection="0"/>
    <xf numFmtId="0" fontId="282" fillId="0" borderId="0">
      <alignment horizontal="center" wrapText="1"/>
      <protection locked="0"/>
    </xf>
    <xf numFmtId="0" fontId="283" fillId="44" borderId="0" applyNumberFormat="0" applyBorder="0" applyAlignment="0" applyProtection="0"/>
    <xf numFmtId="0" fontId="283" fillId="44" borderId="0" applyNumberFormat="0" applyBorder="0" applyAlignment="0" applyProtection="0"/>
    <xf numFmtId="248" fontId="58" fillId="0" borderId="0" applyFill="0" applyBorder="0" applyAlignment="0"/>
    <xf numFmtId="0" fontId="284" fillId="64" borderId="78" applyNumberFormat="0" applyAlignment="0" applyProtection="0"/>
    <xf numFmtId="0" fontId="284" fillId="64" borderId="78" applyNumberFormat="0" applyAlignment="0" applyProtection="0"/>
    <xf numFmtId="0" fontId="285" fillId="63" borderId="77" applyNumberFormat="0" applyAlignment="0" applyProtection="0"/>
    <xf numFmtId="0" fontId="285" fillId="63" borderId="77" applyNumberFormat="0" applyAlignment="0" applyProtection="0"/>
    <xf numFmtId="249" fontId="286" fillId="0" borderId="0"/>
    <xf numFmtId="249" fontId="286" fillId="0" borderId="0"/>
    <xf numFmtId="249" fontId="286" fillId="0" borderId="0"/>
    <xf numFmtId="249" fontId="286" fillId="0" borderId="0"/>
    <xf numFmtId="249" fontId="286" fillId="0" borderId="0"/>
    <xf numFmtId="249" fontId="286" fillId="0" borderId="0"/>
    <xf numFmtId="249" fontId="286" fillId="0" borderId="0"/>
    <xf numFmtId="249" fontId="286" fillId="0" borderId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6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58" fillId="0" borderId="0" applyFont="0" applyFill="0" applyBorder="0" applyAlignment="0" applyProtection="0"/>
    <xf numFmtId="189" fontId="56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5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56" fillId="0" borderId="0" applyFont="0" applyFill="0" applyBorder="0" applyAlignment="0" applyProtection="0"/>
    <xf numFmtId="189" fontId="98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189" fontId="24" fillId="0" borderId="0" applyFont="0" applyFill="0" applyBorder="0" applyAlignment="0" applyProtection="0"/>
    <xf numFmtId="0" fontId="287" fillId="0" borderId="0" applyNumberFormat="0" applyAlignment="0">
      <alignment horizontal="left"/>
    </xf>
    <xf numFmtId="223" fontId="158" fillId="0" borderId="0" applyFont="0" applyFill="0" applyBorder="0" applyAlignment="0" applyProtection="0"/>
    <xf numFmtId="0" fontId="288" fillId="0" borderId="0" applyNumberFormat="0" applyAlignment="0">
      <alignment horizontal="left"/>
    </xf>
    <xf numFmtId="0" fontId="289" fillId="0" borderId="0" applyNumberFormat="0" applyFill="0" applyBorder="0" applyAlignment="0" applyProtection="0"/>
    <xf numFmtId="0" fontId="289" fillId="0" borderId="0" applyNumberFormat="0" applyFill="0" applyBorder="0" applyAlignment="0" applyProtection="0"/>
    <xf numFmtId="0" fontId="290" fillId="45" borderId="0" applyNumberFormat="0" applyBorder="0" applyAlignment="0" applyProtection="0"/>
    <xf numFmtId="0" fontId="290" fillId="45" borderId="0" applyNumberFormat="0" applyBorder="0" applyAlignment="0" applyProtection="0"/>
    <xf numFmtId="214" fontId="175" fillId="0" borderId="42" applyNumberFormat="0" applyAlignment="0" applyProtection="0">
      <alignment horizontal="left" vertical="center"/>
    </xf>
    <xf numFmtId="214" fontId="175" fillId="0" borderId="98">
      <alignment horizontal="left" vertical="center"/>
    </xf>
    <xf numFmtId="0" fontId="291" fillId="0" borderId="74" applyNumberFormat="0" applyFill="0" applyAlignment="0" applyProtection="0"/>
    <xf numFmtId="0" fontId="291" fillId="0" borderId="74" applyNumberFormat="0" applyFill="0" applyAlignment="0" applyProtection="0"/>
    <xf numFmtId="0" fontId="292" fillId="0" borderId="75" applyNumberFormat="0" applyFill="0" applyAlignment="0" applyProtection="0"/>
    <xf numFmtId="0" fontId="292" fillId="0" borderId="75" applyNumberFormat="0" applyFill="0" applyAlignment="0" applyProtection="0"/>
    <xf numFmtId="0" fontId="293" fillId="0" borderId="76" applyNumberFormat="0" applyFill="0" applyAlignment="0" applyProtection="0"/>
    <xf numFmtId="0" fontId="293" fillId="0" borderId="76" applyNumberFormat="0" applyFill="0" applyAlignment="0" applyProtection="0"/>
    <xf numFmtId="0" fontId="293" fillId="0" borderId="0" applyNumberFormat="0" applyFill="0" applyBorder="0" applyAlignment="0" applyProtection="0"/>
    <xf numFmtId="0" fontId="293" fillId="0" borderId="0" applyNumberFormat="0" applyFill="0" applyBorder="0" applyAlignment="0" applyProtection="0"/>
    <xf numFmtId="214" fontId="177" fillId="0" borderId="0" applyNumberFormat="0" applyFill="0" applyBorder="0" applyAlignment="0" applyProtection="0">
      <alignment vertical="top"/>
      <protection locked="0"/>
    </xf>
    <xf numFmtId="0" fontId="294" fillId="48" borderId="78" applyNumberFormat="0" applyAlignment="0" applyProtection="0"/>
    <xf numFmtId="0" fontId="294" fillId="48" borderId="78" applyNumberFormat="0" applyAlignment="0" applyProtection="0"/>
    <xf numFmtId="0" fontId="294" fillId="48" borderId="78" applyNumberFormat="0" applyAlignment="0" applyProtection="0"/>
    <xf numFmtId="0" fontId="295" fillId="0" borderId="80" applyNumberFormat="0" applyFill="0" applyAlignment="0" applyProtection="0"/>
    <xf numFmtId="0" fontId="295" fillId="0" borderId="80" applyNumberFormat="0" applyFill="0" applyAlignment="0" applyProtection="0"/>
    <xf numFmtId="250" fontId="58" fillId="0" borderId="0" applyFont="0" applyFill="0" applyBorder="0" applyAlignment="0" applyProtection="0"/>
    <xf numFmtId="251" fontId="58" fillId="0" borderId="0" applyFont="0" applyFill="0" applyBorder="0" applyAlignment="0" applyProtection="0"/>
    <xf numFmtId="252" fontId="58" fillId="0" borderId="0" applyFont="0" applyFill="0" applyBorder="0" applyAlignment="0" applyProtection="0"/>
    <xf numFmtId="253" fontId="58" fillId="0" borderId="0" applyFont="0" applyFill="0" applyBorder="0" applyAlignment="0" applyProtection="0"/>
    <xf numFmtId="0" fontId="296" fillId="61" borderId="0" applyNumberFormat="0" applyBorder="0" applyAlignment="0" applyProtection="0"/>
    <xf numFmtId="0" fontId="296" fillId="61" borderId="0" applyNumberFormat="0" applyBorder="0" applyAlignment="0" applyProtection="0"/>
    <xf numFmtId="37" fontId="297" fillId="0" borderId="0"/>
    <xf numFmtId="227" fontId="58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07" fontId="24" fillId="0" borderId="0"/>
    <xf numFmtId="207" fontId="24" fillId="0" borderId="0"/>
    <xf numFmtId="207" fontId="24" fillId="0" borderId="0"/>
    <xf numFmtId="207" fontId="24" fillId="0" borderId="0"/>
    <xf numFmtId="207" fontId="24" fillId="0" borderId="0"/>
    <xf numFmtId="207" fontId="24" fillId="0" borderId="0"/>
    <xf numFmtId="207" fontId="24" fillId="0" borderId="0"/>
    <xf numFmtId="207" fontId="24" fillId="0" borderId="0"/>
    <xf numFmtId="207" fontId="24" fillId="0" borderId="0"/>
    <xf numFmtId="207" fontId="24" fillId="0" borderId="0"/>
    <xf numFmtId="207" fontId="24" fillId="0" borderId="0"/>
    <xf numFmtId="207" fontId="24" fillId="0" borderId="0"/>
    <xf numFmtId="207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7" fontId="24" fillId="0" borderId="0"/>
    <xf numFmtId="207" fontId="24" fillId="0" borderId="0"/>
    <xf numFmtId="207" fontId="24" fillId="0" borderId="0"/>
    <xf numFmtId="207" fontId="24" fillId="0" borderId="0"/>
    <xf numFmtId="207" fontId="24" fillId="0" borderId="0"/>
    <xf numFmtId="207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0" fontId="147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14" fontId="169" fillId="0" borderId="0"/>
    <xf numFmtId="0" fontId="147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14" fontId="58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00" fontId="24" fillId="0" borderId="0"/>
    <xf numFmtId="200" fontId="24" fillId="0" borderId="0"/>
    <xf numFmtId="20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0" fontId="76" fillId="0" borderId="0">
      <alignment vertical="center"/>
    </xf>
    <xf numFmtId="237" fontId="24" fillId="0" borderId="0"/>
    <xf numFmtId="237" fontId="24" fillId="0" borderId="0"/>
    <xf numFmtId="237" fontId="24" fillId="0" borderId="0"/>
    <xf numFmtId="237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00" fontId="24" fillId="0" borderId="0"/>
    <xf numFmtId="200" fontId="24" fillId="0" borderId="0"/>
    <xf numFmtId="20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54" fontId="24" fillId="0" borderId="0"/>
    <xf numFmtId="254" fontId="24" fillId="0" borderId="0"/>
    <xf numFmtId="254" fontId="24" fillId="0" borderId="0"/>
    <xf numFmtId="254" fontId="24" fillId="0" borderId="0"/>
    <xf numFmtId="254" fontId="24" fillId="0" borderId="0"/>
    <xf numFmtId="254" fontId="24" fillId="0" borderId="0"/>
    <xf numFmtId="254" fontId="24" fillId="0" borderId="0"/>
    <xf numFmtId="25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0" fontId="58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0" fontId="58" fillId="0" borderId="0"/>
    <xf numFmtId="237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00" fontId="24" fillId="0" borderId="0"/>
    <xf numFmtId="200" fontId="24" fillId="0" borderId="0"/>
    <xf numFmtId="20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14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00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37" fontId="24" fillId="0" borderId="0"/>
    <xf numFmtId="214" fontId="24" fillId="42" borderId="70" applyNumberFormat="0" applyFont="0" applyAlignment="0" applyProtection="0"/>
    <xf numFmtId="214" fontId="24" fillId="42" borderId="70" applyNumberFormat="0" applyFont="0" applyAlignment="0" applyProtection="0"/>
    <xf numFmtId="214" fontId="24" fillId="42" borderId="70" applyNumberFormat="0" applyFont="0" applyAlignment="0" applyProtection="0"/>
    <xf numFmtId="214" fontId="24" fillId="42" borderId="70" applyNumberFormat="0" applyFont="0" applyAlignment="0" applyProtection="0"/>
    <xf numFmtId="214" fontId="24" fillId="42" borderId="70" applyNumberFormat="0" applyFont="0" applyAlignment="0" applyProtection="0"/>
    <xf numFmtId="214" fontId="24" fillId="42" borderId="70" applyNumberFormat="0" applyFont="0" applyAlignment="0" applyProtection="0"/>
    <xf numFmtId="214" fontId="24" fillId="42" borderId="70" applyNumberFormat="0" applyFont="0" applyAlignment="0" applyProtection="0"/>
    <xf numFmtId="214" fontId="24" fillId="42" borderId="70" applyNumberFormat="0" applyFont="0" applyAlignment="0" applyProtection="0"/>
    <xf numFmtId="214" fontId="24" fillId="42" borderId="70" applyNumberFormat="0" applyFont="0" applyAlignment="0" applyProtection="0"/>
    <xf numFmtId="214" fontId="24" fillId="42" borderId="70" applyNumberFormat="0" applyFont="0" applyAlignment="0" applyProtection="0"/>
    <xf numFmtId="214" fontId="24" fillId="42" borderId="70" applyNumberFormat="0" applyFont="0" applyAlignment="0" applyProtection="0"/>
    <xf numFmtId="214" fontId="24" fillId="42" borderId="70" applyNumberFormat="0" applyFont="0" applyAlignment="0" applyProtection="0"/>
    <xf numFmtId="214" fontId="24" fillId="42" borderId="70" applyNumberFormat="0" applyFont="0" applyAlignment="0" applyProtection="0"/>
    <xf numFmtId="0" fontId="58" fillId="62" borderId="72" applyNumberFormat="0" applyFont="0" applyAlignment="0" applyProtection="0"/>
    <xf numFmtId="0" fontId="298" fillId="64" borderId="79" applyNumberFormat="0" applyAlignment="0" applyProtection="0"/>
    <xf numFmtId="0" fontId="298" fillId="64" borderId="79" applyNumberFormat="0" applyAlignment="0" applyProtection="0"/>
    <xf numFmtId="14" fontId="282" fillId="0" borderId="0">
      <alignment horizontal="center" wrapText="1"/>
      <protection locked="0"/>
    </xf>
    <xf numFmtId="9" fontId="9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3" fontId="299" fillId="0" borderId="0" applyNumberFormat="0" applyFill="0" applyBorder="0" applyAlignment="0" applyProtection="0"/>
    <xf numFmtId="1" fontId="58" fillId="0" borderId="12" applyNumberFormat="0" applyFill="0" applyAlignment="0" applyProtection="0">
      <alignment horizontal="center" vertical="center"/>
    </xf>
    <xf numFmtId="0" fontId="300" fillId="89" borderId="0">
      <alignment horizontal="center"/>
    </xf>
    <xf numFmtId="14" fontId="301" fillId="0" borderId="0" applyNumberFormat="0" applyFill="0" applyBorder="0" applyAlignment="0" applyProtection="0">
      <alignment horizontal="left"/>
    </xf>
    <xf numFmtId="40" fontId="302" fillId="0" borderId="0" applyBorder="0">
      <alignment horizontal="right"/>
    </xf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4" fillId="0" borderId="73" applyNumberFormat="0" applyFill="0" applyAlignment="0" applyProtection="0"/>
    <xf numFmtId="0" fontId="304" fillId="0" borderId="73" applyNumberFormat="0" applyFill="0" applyAlignment="0" applyProtection="0"/>
    <xf numFmtId="0" fontId="305" fillId="0" borderId="119"/>
    <xf numFmtId="0" fontId="306" fillId="0" borderId="0" applyNumberFormat="0" applyFill="0" applyBorder="0" applyAlignment="0" applyProtection="0"/>
    <xf numFmtId="0" fontId="306" fillId="0" borderId="0" applyNumberFormat="0" applyFill="0" applyBorder="0" applyAlignment="0" applyProtection="0"/>
    <xf numFmtId="41" fontId="307" fillId="0" borderId="0" applyFont="0" applyFill="0" applyBorder="0" applyAlignment="0" applyProtection="0"/>
    <xf numFmtId="43" fontId="307" fillId="0" borderId="0" applyFont="0" applyFill="0" applyBorder="0" applyAlignment="0" applyProtection="0"/>
    <xf numFmtId="42" fontId="307" fillId="0" borderId="0" applyFont="0" applyFill="0" applyBorder="0" applyAlignment="0" applyProtection="0"/>
    <xf numFmtId="44" fontId="307" fillId="0" borderId="0" applyFont="0" applyFill="0" applyBorder="0" applyAlignment="0" applyProtection="0"/>
    <xf numFmtId="0" fontId="308" fillId="0" borderId="0" applyNumberFormat="0" applyFill="0" applyBorder="0" applyAlignment="0" applyProtection="0">
      <alignment vertical="top"/>
      <protection locked="0"/>
    </xf>
    <xf numFmtId="0" fontId="285" fillId="63" borderId="77" applyNumberFormat="0" applyAlignment="0" applyProtection="0"/>
    <xf numFmtId="0" fontId="295" fillId="0" borderId="80" applyNumberFormat="0" applyFill="0" applyAlignment="0" applyProtection="0"/>
    <xf numFmtId="0" fontId="283" fillId="44" borderId="0" applyNumberFormat="0" applyBorder="0" applyAlignment="0" applyProtection="0"/>
    <xf numFmtId="0" fontId="298" fillId="64" borderId="79" applyNumberFormat="0" applyAlignment="0" applyProtection="0"/>
    <xf numFmtId="0" fontId="284" fillId="64" borderId="78" applyNumberFormat="0" applyAlignment="0" applyProtection="0"/>
    <xf numFmtId="0" fontId="306" fillId="0" borderId="0" applyNumberFormat="0" applyFill="0" applyBorder="0" applyAlignment="0" applyProtection="0"/>
    <xf numFmtId="0" fontId="289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290" fillId="45" borderId="0" applyNumberFormat="0" applyBorder="0" applyAlignment="0" applyProtection="0"/>
    <xf numFmtId="0" fontId="309" fillId="0" borderId="0" applyNumberFormat="0" applyFill="0" applyBorder="0" applyAlignment="0" applyProtection="0">
      <alignment vertical="top"/>
      <protection locked="0"/>
    </xf>
    <xf numFmtId="0" fontId="98" fillId="0" borderId="0"/>
    <xf numFmtId="0" fontId="294" fillId="48" borderId="78" applyNumberFormat="0" applyAlignment="0" applyProtection="0"/>
    <xf numFmtId="0" fontId="296" fillId="61" borderId="0" applyNumberFormat="0" applyBorder="0" applyAlignment="0" applyProtection="0"/>
    <xf numFmtId="0" fontId="304" fillId="0" borderId="73" applyNumberFormat="0" applyFill="0" applyAlignment="0" applyProtection="0"/>
    <xf numFmtId="0" fontId="281" fillId="65" borderId="0" applyNumberFormat="0" applyBorder="0" applyAlignment="0" applyProtection="0"/>
    <xf numFmtId="0" fontId="281" fillId="66" borderId="0" applyNumberFormat="0" applyBorder="0" applyAlignment="0" applyProtection="0"/>
    <xf numFmtId="0" fontId="281" fillId="67" borderId="0" applyNumberFormat="0" applyBorder="0" applyAlignment="0" applyProtection="0"/>
    <xf numFmtId="0" fontId="281" fillId="54" borderId="0" applyNumberFormat="0" applyBorder="0" applyAlignment="0" applyProtection="0"/>
    <xf numFmtId="0" fontId="281" fillId="55" borderId="0" applyNumberFormat="0" applyBorder="0" applyAlignment="0" applyProtection="0"/>
    <xf numFmtId="0" fontId="281" fillId="68" borderId="0" applyNumberFormat="0" applyBorder="0" applyAlignment="0" applyProtection="0"/>
    <xf numFmtId="0" fontId="58" fillId="62" borderId="72" applyNumberFormat="0" applyFont="0" applyAlignment="0" applyProtection="0"/>
    <xf numFmtId="0" fontId="291" fillId="0" borderId="74" applyNumberFormat="0" applyFill="0" applyAlignment="0" applyProtection="0"/>
    <xf numFmtId="0" fontId="292" fillId="0" borderId="75" applyNumberFormat="0" applyFill="0" applyAlignment="0" applyProtection="0"/>
    <xf numFmtId="0" fontId="293" fillId="0" borderId="76" applyNumberFormat="0" applyFill="0" applyAlignment="0" applyProtection="0"/>
    <xf numFmtId="0" fontId="293" fillId="0" borderId="0" applyNumberFormat="0" applyFill="0" applyBorder="0" applyAlignment="0" applyProtection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917">
    <xf numFmtId="0" fontId="0" fillId="0" borderId="0" xfId="0"/>
    <xf numFmtId="0" fontId="49" fillId="2" borderId="1" xfId="0" applyFont="1" applyFill="1" applyBorder="1" applyAlignment="1">
      <alignment vertical="center"/>
    </xf>
    <xf numFmtId="190" fontId="49" fillId="2" borderId="0" xfId="0" applyNumberFormat="1" applyFont="1" applyFill="1" applyBorder="1" applyAlignment="1">
      <alignment vertical="center"/>
    </xf>
    <xf numFmtId="190" fontId="49" fillId="2" borderId="0" xfId="0" applyNumberFormat="1" applyFont="1" applyFill="1" applyBorder="1" applyAlignment="1">
      <alignment horizontal="center" vertical="center"/>
    </xf>
    <xf numFmtId="0" fontId="0" fillId="0" borderId="0" xfId="0" applyBorder="1"/>
    <xf numFmtId="0" fontId="49" fillId="2" borderId="0" xfId="0" applyFont="1" applyFill="1" applyBorder="1" applyAlignment="1">
      <alignment horizontal="center" vertical="center"/>
    </xf>
    <xf numFmtId="0" fontId="51" fillId="2" borderId="0" xfId="0" applyFont="1" applyFill="1" applyBorder="1" applyAlignment="1">
      <alignment vertical="center"/>
    </xf>
    <xf numFmtId="0" fontId="52" fillId="2" borderId="0" xfId="0" applyFont="1" applyFill="1" applyBorder="1" applyAlignment="1">
      <alignment vertical="center"/>
    </xf>
    <xf numFmtId="0" fontId="52" fillId="2" borderId="0" xfId="0" applyFont="1" applyFill="1" applyBorder="1" applyAlignment="1">
      <alignment horizontal="center" vertical="center"/>
    </xf>
    <xf numFmtId="0" fontId="55" fillId="2" borderId="0" xfId="0" applyFont="1" applyFill="1" applyBorder="1" applyAlignment="1">
      <alignment horizontal="left" vertical="center" wrapText="1"/>
    </xf>
    <xf numFmtId="0" fontId="55" fillId="2" borderId="0" xfId="0" applyFont="1" applyFill="1" applyBorder="1" applyAlignment="1">
      <alignment horizontal="center" vertical="center" wrapText="1"/>
    </xf>
    <xf numFmtId="193" fontId="55" fillId="2" borderId="0" xfId="0" applyNumberFormat="1" applyFont="1" applyFill="1" applyBorder="1" applyAlignment="1">
      <alignment horizontal="right" vertical="center"/>
    </xf>
    <xf numFmtId="193" fontId="53" fillId="0" borderId="0" xfId="0" applyNumberFormat="1" applyFont="1" applyFill="1" applyBorder="1" applyAlignment="1">
      <alignment horizontal="right" vertical="center"/>
    </xf>
    <xf numFmtId="192" fontId="53" fillId="0" borderId="0" xfId="0" applyNumberFormat="1" applyFont="1" applyFill="1" applyBorder="1" applyAlignment="1">
      <alignment vertical="center"/>
    </xf>
    <xf numFmtId="192" fontId="53" fillId="0" borderId="0" xfId="1" applyNumberFormat="1" applyFont="1" applyFill="1" applyBorder="1" applyAlignment="1">
      <alignment horizontal="center" vertical="center"/>
    </xf>
    <xf numFmtId="195" fontId="55" fillId="2" borderId="0" xfId="0" applyNumberFormat="1" applyFont="1" applyFill="1" applyBorder="1" applyAlignment="1">
      <alignment horizontal="right" vertical="center"/>
    </xf>
    <xf numFmtId="0" fontId="55" fillId="2" borderId="10" xfId="0" quotePrefix="1" applyFont="1" applyFill="1" applyBorder="1" applyAlignment="1">
      <alignment horizontal="left" vertical="center" wrapText="1"/>
    </xf>
    <xf numFmtId="0" fontId="55" fillId="2" borderId="10" xfId="0" applyFont="1" applyFill="1" applyBorder="1" applyAlignment="1">
      <alignment horizontal="center" vertical="center" wrapText="1"/>
    </xf>
    <xf numFmtId="193" fontId="55" fillId="2" borderId="10" xfId="0" applyNumberFormat="1" applyFont="1" applyFill="1" applyBorder="1" applyAlignment="1">
      <alignment horizontal="right" vertical="center"/>
    </xf>
    <xf numFmtId="193" fontId="55" fillId="2" borderId="0" xfId="0" applyNumberFormat="1" applyFont="1" applyFill="1" applyBorder="1" applyAlignment="1">
      <alignment horizontal="left" vertical="center"/>
    </xf>
    <xf numFmtId="0" fontId="55" fillId="2" borderId="0" xfId="0" quotePrefix="1" applyFont="1" applyFill="1" applyBorder="1" applyAlignment="1">
      <alignment horizontal="left" vertical="center" wrapText="1"/>
    </xf>
    <xf numFmtId="0" fontId="51" fillId="2" borderId="0" xfId="0" applyFont="1" applyFill="1" applyBorder="1" applyAlignment="1">
      <alignment horizontal="right" vertical="center" wrapText="1"/>
    </xf>
    <xf numFmtId="0" fontId="55" fillId="2" borderId="0" xfId="0" applyFont="1" applyFill="1" applyBorder="1" applyAlignment="1">
      <alignment horizontal="center" vertical="center"/>
    </xf>
    <xf numFmtId="191" fontId="53" fillId="7" borderId="10" xfId="0" applyNumberFormat="1" applyFont="1" applyFill="1" applyBorder="1" applyAlignment="1">
      <alignment horizontal="center" vertical="center" wrapText="1"/>
    </xf>
    <xf numFmtId="192" fontId="53" fillId="9" borderId="10" xfId="1" applyNumberFormat="1" applyFont="1" applyFill="1" applyBorder="1" applyAlignment="1">
      <alignment vertical="center"/>
    </xf>
    <xf numFmtId="191" fontId="53" fillId="9" borderId="10" xfId="1" applyNumberFormat="1" applyFont="1" applyFill="1" applyBorder="1" applyAlignment="1">
      <alignment vertical="center"/>
    </xf>
    <xf numFmtId="198" fontId="55" fillId="2" borderId="0" xfId="0" applyNumberFormat="1" applyFont="1" applyFill="1" applyBorder="1" applyAlignment="1">
      <alignment horizontal="right" vertical="center"/>
    </xf>
    <xf numFmtId="198" fontId="53" fillId="2" borderId="0" xfId="1" applyNumberFormat="1" applyFont="1" applyFill="1" applyBorder="1" applyAlignment="1">
      <alignment horizontal="right" vertical="center" wrapText="1"/>
    </xf>
    <xf numFmtId="192" fontId="55" fillId="2" borderId="0" xfId="0" applyNumberFormat="1" applyFont="1" applyFill="1" applyBorder="1" applyAlignment="1">
      <alignment vertical="center"/>
    </xf>
    <xf numFmtId="194" fontId="55" fillId="2" borderId="0" xfId="0" applyNumberFormat="1" applyFont="1" applyFill="1" applyBorder="1" applyAlignment="1">
      <alignment horizontal="center" vertical="center"/>
    </xf>
    <xf numFmtId="193" fontId="52" fillId="2" borderId="0" xfId="0" applyNumberFormat="1" applyFont="1" applyFill="1" applyBorder="1" applyAlignment="1">
      <alignment vertical="center"/>
    </xf>
    <xf numFmtId="194" fontId="52" fillId="2" borderId="0" xfId="0" applyNumberFormat="1" applyFont="1" applyFill="1" applyBorder="1" applyAlignment="1">
      <alignment vertical="center"/>
    </xf>
    <xf numFmtId="191" fontId="53" fillId="5" borderId="12" xfId="0" applyNumberFormat="1" applyFont="1" applyFill="1" applyBorder="1" applyAlignment="1">
      <alignment horizontal="center" vertical="center" wrapText="1"/>
    </xf>
    <xf numFmtId="191" fontId="53" fillId="0" borderId="0" xfId="0" applyNumberFormat="1" applyFont="1" applyFill="1" applyBorder="1" applyAlignment="1">
      <alignment vertical="center" wrapText="1"/>
    </xf>
    <xf numFmtId="191" fontId="0" fillId="0" borderId="0" xfId="0" applyNumberFormat="1" applyBorder="1"/>
    <xf numFmtId="189" fontId="0" fillId="0" borderId="0" xfId="0" applyNumberFormat="1"/>
    <xf numFmtId="192" fontId="55" fillId="0" borderId="0" xfId="0" applyNumberFormat="1" applyFont="1" applyFill="1" applyBorder="1" applyAlignment="1">
      <alignment horizontal="center" vertical="center"/>
    </xf>
    <xf numFmtId="189" fontId="59" fillId="0" borderId="0" xfId="4" applyNumberFormat="1" applyFont="1" applyFill="1" applyBorder="1"/>
    <xf numFmtId="198" fontId="50" fillId="2" borderId="0" xfId="1" applyNumberFormat="1" applyFont="1" applyFill="1" applyBorder="1" applyAlignment="1">
      <alignment horizontal="left" vertical="center"/>
    </xf>
    <xf numFmtId="198" fontId="55" fillId="2" borderId="0" xfId="1" applyNumberFormat="1" applyFont="1" applyFill="1" applyBorder="1" applyAlignment="1">
      <alignment horizontal="center" vertical="center" wrapText="1"/>
    </xf>
    <xf numFmtId="192" fontId="55" fillId="2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/>
    <xf numFmtId="198" fontId="53" fillId="0" borderId="0" xfId="1" applyNumberFormat="1" applyFont="1" applyFill="1" applyBorder="1" applyAlignment="1">
      <alignment horizontal="right" vertical="center" wrapText="1"/>
    </xf>
    <xf numFmtId="198" fontId="55" fillId="2" borderId="8" xfId="1" applyNumberFormat="1" applyFont="1" applyFill="1" applyBorder="1" applyAlignment="1">
      <alignment horizontal="center" vertical="center" wrapText="1"/>
    </xf>
    <xf numFmtId="199" fontId="61" fillId="0" borderId="0" xfId="6" applyNumberFormat="1" applyFont="1" applyBorder="1" applyAlignment="1">
      <alignment horizontal="center"/>
    </xf>
    <xf numFmtId="201" fontId="61" fillId="0" borderId="0" xfId="7" applyNumberFormat="1" applyFont="1" applyFill="1" applyBorder="1" applyAlignment="1">
      <alignment horizontal="left" indent="1"/>
    </xf>
    <xf numFmtId="199" fontId="61" fillId="0" borderId="13" xfId="6" applyNumberFormat="1" applyFont="1" applyBorder="1" applyAlignment="1">
      <alignment horizontal="center"/>
    </xf>
    <xf numFmtId="201" fontId="61" fillId="0" borderId="13" xfId="7" applyNumberFormat="1" applyFont="1" applyFill="1" applyBorder="1" applyAlignment="1">
      <alignment horizontal="left" indent="1"/>
    </xf>
    <xf numFmtId="0" fontId="0" fillId="0" borderId="0" xfId="0" applyFill="1" applyBorder="1"/>
    <xf numFmtId="3" fontId="0" fillId="0" borderId="0" xfId="0" applyNumberFormat="1"/>
    <xf numFmtId="0" fontId="43" fillId="2" borderId="0" xfId="8" applyFill="1"/>
    <xf numFmtId="0" fontId="69" fillId="2" borderId="0" xfId="8" applyFont="1" applyFill="1"/>
    <xf numFmtId="0" fontId="43" fillId="0" borderId="0" xfId="8"/>
    <xf numFmtId="0" fontId="43" fillId="2" borderId="0" xfId="8" applyFill="1" applyAlignment="1">
      <alignment horizontal="right"/>
    </xf>
    <xf numFmtId="0" fontId="43" fillId="13" borderId="0" xfId="8" applyFill="1" applyAlignment="1">
      <alignment horizontal="right"/>
    </xf>
    <xf numFmtId="0" fontId="44" fillId="13" borderId="8" xfId="8" applyFont="1" applyFill="1" applyBorder="1" applyAlignment="1">
      <alignment horizontal="right"/>
    </xf>
    <xf numFmtId="0" fontId="44" fillId="13" borderId="8" xfId="8" applyFont="1" applyFill="1" applyBorder="1" applyAlignment="1">
      <alignment horizontal="center" vertical="center" wrapText="1"/>
    </xf>
    <xf numFmtId="0" fontId="46" fillId="2" borderId="8" xfId="8" applyFont="1" applyFill="1" applyBorder="1" applyAlignment="1">
      <alignment horizontal="right"/>
    </xf>
    <xf numFmtId="3" fontId="43" fillId="14" borderId="8" xfId="8" applyNumberFormat="1" applyFont="1" applyFill="1" applyBorder="1" applyAlignment="1">
      <alignment horizontal="right"/>
    </xf>
    <xf numFmtId="197" fontId="43" fillId="9" borderId="8" xfId="1" applyNumberFormat="1" applyFont="1" applyFill="1" applyBorder="1" applyAlignment="1">
      <alignment horizontal="right"/>
    </xf>
    <xf numFmtId="0" fontId="43" fillId="2" borderId="8" xfId="8" applyFill="1" applyBorder="1" applyAlignment="1">
      <alignment horizontal="right"/>
    </xf>
    <xf numFmtId="197" fontId="43" fillId="9" borderId="8" xfId="1" applyNumberFormat="1" applyFont="1" applyFill="1" applyBorder="1"/>
    <xf numFmtId="0" fontId="43" fillId="2" borderId="0" xfId="8" applyFill="1" applyBorder="1"/>
    <xf numFmtId="0" fontId="71" fillId="2" borderId="0" xfId="8" applyFont="1" applyFill="1" applyAlignment="1">
      <alignment horizontal="left"/>
    </xf>
    <xf numFmtId="0" fontId="43" fillId="0" borderId="0" xfId="8" applyBorder="1"/>
    <xf numFmtId="0" fontId="72" fillId="2" borderId="0" xfId="8" applyFont="1" applyFill="1" applyBorder="1" applyAlignment="1">
      <alignment horizontal="right"/>
    </xf>
    <xf numFmtId="191" fontId="43" fillId="2" borderId="0" xfId="8" applyNumberFormat="1" applyFill="1" applyBorder="1"/>
    <xf numFmtId="0" fontId="71" fillId="2" borderId="0" xfId="8" applyFont="1" applyFill="1" applyBorder="1" applyAlignment="1">
      <alignment vertical="center"/>
    </xf>
    <xf numFmtId="0" fontId="43" fillId="2" borderId="0" xfId="8" applyFont="1" applyFill="1"/>
    <xf numFmtId="0" fontId="46" fillId="14" borderId="8" xfId="8" applyFont="1" applyFill="1" applyBorder="1" applyAlignment="1">
      <alignment horizontal="center" vertical="center"/>
    </xf>
    <xf numFmtId="0" fontId="74" fillId="2" borderId="0" xfId="8" applyFont="1" applyFill="1"/>
    <xf numFmtId="0" fontId="43" fillId="0" borderId="0" xfId="8" applyFill="1" applyBorder="1"/>
    <xf numFmtId="198" fontId="55" fillId="0" borderId="0" xfId="1" applyNumberFormat="1" applyFont="1" applyFill="1" applyBorder="1" applyAlignment="1">
      <alignment horizontal="center" vertical="center" wrapText="1"/>
    </xf>
    <xf numFmtId="4" fontId="50" fillId="0" borderId="0" xfId="1" applyNumberFormat="1" applyFont="1" applyFill="1" applyBorder="1" applyAlignment="1">
      <alignment horizontal="right" vertical="center"/>
    </xf>
    <xf numFmtId="4" fontId="57" fillId="0" borderId="0" xfId="3" applyNumberFormat="1" applyFont="1" applyFill="1" applyBorder="1" applyAlignment="1">
      <alignment horizontal="right" vertical="center"/>
    </xf>
    <xf numFmtId="4" fontId="55" fillId="0" borderId="0" xfId="1" applyNumberFormat="1" applyFont="1" applyFill="1" applyBorder="1" applyAlignment="1">
      <alignment horizontal="right" vertical="center"/>
    </xf>
    <xf numFmtId="191" fontId="74" fillId="15" borderId="8" xfId="8" applyNumberFormat="1" applyFont="1" applyFill="1" applyBorder="1" applyAlignment="1">
      <alignment horizontal="center"/>
    </xf>
    <xf numFmtId="191" fontId="73" fillId="0" borderId="0" xfId="8" applyNumberFormat="1" applyFont="1" applyFill="1" applyBorder="1" applyAlignment="1">
      <alignment horizontal="right"/>
    </xf>
    <xf numFmtId="191" fontId="73" fillId="0" borderId="0" xfId="8" applyNumberFormat="1" applyFont="1" applyFill="1" applyBorder="1" applyAlignment="1">
      <alignment horizontal="right" vertical="center" wrapText="1"/>
    </xf>
    <xf numFmtId="3" fontId="43" fillId="2" borderId="0" xfId="8" applyNumberFormat="1" applyFill="1"/>
    <xf numFmtId="0" fontId="44" fillId="13" borderId="0" xfId="8" applyFont="1" applyFill="1" applyAlignment="1">
      <alignment horizontal="center" vertical="center" wrapText="1"/>
    </xf>
    <xf numFmtId="0" fontId="46" fillId="14" borderId="8" xfId="8" applyFont="1" applyFill="1" applyBorder="1" applyAlignment="1">
      <alignment horizontal="center" vertical="center" wrapText="1"/>
    </xf>
    <xf numFmtId="0" fontId="46" fillId="16" borderId="8" xfId="8" applyFont="1" applyFill="1" applyBorder="1" applyAlignment="1">
      <alignment horizontal="center" vertical="center" wrapText="1"/>
    </xf>
    <xf numFmtId="0" fontId="46" fillId="9" borderId="8" xfId="8" applyFont="1" applyFill="1" applyBorder="1" applyAlignment="1">
      <alignment horizontal="right"/>
    </xf>
    <xf numFmtId="191" fontId="46" fillId="9" borderId="8" xfId="8" applyNumberFormat="1" applyFont="1" applyFill="1" applyBorder="1" applyAlignment="1">
      <alignment horizontal="right" vertical="center" wrapText="1"/>
    </xf>
    <xf numFmtId="191" fontId="43" fillId="16" borderId="8" xfId="8" applyNumberFormat="1" applyFill="1" applyBorder="1"/>
    <xf numFmtId="0" fontId="72" fillId="9" borderId="8" xfId="8" applyFont="1" applyFill="1" applyBorder="1" applyAlignment="1">
      <alignment horizontal="right"/>
    </xf>
    <xf numFmtId="191" fontId="46" fillId="9" borderId="8" xfId="8" applyNumberFormat="1" applyFont="1" applyFill="1" applyBorder="1"/>
    <xf numFmtId="191" fontId="70" fillId="2" borderId="0" xfId="8" applyNumberFormat="1" applyFont="1" applyFill="1" applyBorder="1"/>
    <xf numFmtId="191" fontId="46" fillId="2" borderId="0" xfId="8" applyNumberFormat="1" applyFont="1" applyFill="1" applyBorder="1"/>
    <xf numFmtId="0" fontId="47" fillId="2" borderId="0" xfId="8" applyFont="1" applyFill="1"/>
    <xf numFmtId="191" fontId="43" fillId="2" borderId="0" xfId="8" applyNumberFormat="1" applyFill="1" applyBorder="1" applyAlignment="1">
      <alignment horizontal="center"/>
    </xf>
    <xf numFmtId="2" fontId="70" fillId="2" borderId="0" xfId="8" applyNumberFormat="1" applyFont="1" applyFill="1" applyAlignment="1">
      <alignment horizontal="left" vertical="center" wrapText="1"/>
    </xf>
    <xf numFmtId="0" fontId="46" fillId="13" borderId="11" xfId="8" applyFont="1" applyFill="1" applyBorder="1" applyAlignment="1">
      <alignment horizontal="center" vertical="center" wrapText="1"/>
    </xf>
    <xf numFmtId="194" fontId="43" fillId="14" borderId="8" xfId="8" applyNumberFormat="1" applyFont="1" applyFill="1" applyBorder="1" applyAlignment="1">
      <alignment horizontal="center"/>
    </xf>
    <xf numFmtId="194" fontId="43" fillId="15" borderId="8" xfId="8" applyNumberFormat="1" applyFont="1" applyFill="1" applyBorder="1" applyAlignment="1">
      <alignment horizontal="center"/>
    </xf>
    <xf numFmtId="191" fontId="74" fillId="0" borderId="8" xfId="8" applyNumberFormat="1" applyFont="1" applyFill="1" applyBorder="1" applyAlignment="1">
      <alignment horizontal="center"/>
    </xf>
    <xf numFmtId="0" fontId="43" fillId="2" borderId="0" xfId="8" applyFont="1" applyFill="1" applyAlignment="1">
      <alignment horizontal="right"/>
    </xf>
    <xf numFmtId="191" fontId="43" fillId="2" borderId="8" xfId="8" applyNumberFormat="1" applyFill="1" applyBorder="1"/>
    <xf numFmtId="191" fontId="74" fillId="2" borderId="8" xfId="8" applyNumberFormat="1" applyFont="1" applyFill="1" applyBorder="1"/>
    <xf numFmtId="0" fontId="0" fillId="19" borderId="8" xfId="0" applyFont="1" applyFill="1" applyBorder="1"/>
    <xf numFmtId="0" fontId="0" fillId="19" borderId="8" xfId="0" applyFill="1" applyBorder="1" applyAlignment="1">
      <alignment horizontal="center"/>
    </xf>
    <xf numFmtId="0" fontId="0" fillId="19" borderId="8" xfId="0" applyFill="1" applyBorder="1"/>
    <xf numFmtId="203" fontId="0" fillId="0" borderId="8" xfId="0" applyNumberFormat="1" applyFont="1" applyBorder="1"/>
    <xf numFmtId="191" fontId="0" fillId="0" borderId="8" xfId="0" applyNumberFormat="1" applyFont="1" applyBorder="1"/>
    <xf numFmtId="2" fontId="0" fillId="0" borderId="0" xfId="0" applyNumberFormat="1" applyFont="1" applyFill="1" applyBorder="1"/>
    <xf numFmtId="2" fontId="77" fillId="0" borderId="0" xfId="0" applyNumberFormat="1" applyFont="1" applyFill="1" applyBorder="1"/>
    <xf numFmtId="2" fontId="0" fillId="0" borderId="0" xfId="0" applyNumberFormat="1" applyFill="1" applyBorder="1"/>
    <xf numFmtId="2" fontId="78" fillId="0" borderId="51" xfId="0" applyNumberFormat="1" applyFont="1" applyFill="1" applyBorder="1"/>
    <xf numFmtId="0" fontId="79" fillId="0" borderId="0" xfId="0" applyFont="1"/>
    <xf numFmtId="204" fontId="0" fillId="0" borderId="0" xfId="0" applyNumberFormat="1"/>
    <xf numFmtId="191" fontId="0" fillId="0" borderId="0" xfId="0" applyNumberFormat="1" applyAlignment="1"/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191" fontId="0" fillId="0" borderId="0" xfId="0" applyNumberFormat="1"/>
    <xf numFmtId="0" fontId="81" fillId="0" borderId="0" xfId="0" applyFont="1" applyFill="1" applyBorder="1" applyAlignment="1">
      <alignment horizontal="center"/>
    </xf>
    <xf numFmtId="0" fontId="79" fillId="21" borderId="35" xfId="0" applyFont="1" applyFill="1" applyBorder="1" applyAlignment="1">
      <alignment horizontal="center" vertical="center" wrapText="1"/>
    </xf>
    <xf numFmtId="0" fontId="79" fillId="17" borderId="35" xfId="0" applyFont="1" applyFill="1" applyBorder="1" applyAlignment="1">
      <alignment horizontal="center" vertical="center" wrapText="1"/>
    </xf>
    <xf numFmtId="2" fontId="79" fillId="0" borderId="0" xfId="0" applyNumberFormat="1" applyFont="1" applyFill="1" applyBorder="1" applyAlignment="1">
      <alignment horizontal="center" vertical="center" wrapText="1"/>
    </xf>
    <xf numFmtId="2" fontId="0" fillId="0" borderId="0" xfId="0" applyNumberFormat="1" applyFill="1" applyBorder="1" applyAlignment="1">
      <alignment horizontal="center" vertical="center"/>
    </xf>
    <xf numFmtId="204" fontId="83" fillId="0" borderId="0" xfId="12" applyNumberFormat="1" applyFont="1" applyFill="1" applyBorder="1" applyAlignment="1" applyProtection="1">
      <alignment horizontal="center" vertical="center"/>
    </xf>
    <xf numFmtId="191" fontId="0" fillId="0" borderId="0" xfId="0" applyNumberFormat="1" applyFill="1" applyBorder="1" applyAlignment="1">
      <alignment horizontal="center"/>
    </xf>
    <xf numFmtId="204" fontId="0" fillId="0" borderId="0" xfId="0" applyNumberFormat="1" applyFill="1" applyBorder="1" applyAlignment="1">
      <alignment horizontal="center" vertical="top"/>
    </xf>
    <xf numFmtId="2" fontId="0" fillId="0" borderId="0" xfId="0" applyNumberFormat="1" applyFill="1" applyBorder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0" fontId="79" fillId="21" borderId="31" xfId="0" applyFont="1" applyFill="1" applyBorder="1" applyAlignment="1">
      <alignment horizontal="center" vertical="center" wrapText="1"/>
    </xf>
    <xf numFmtId="0" fontId="79" fillId="21" borderId="29" xfId="0" applyFont="1" applyFill="1" applyBorder="1" applyAlignment="1">
      <alignment horizontal="center" vertical="center" wrapText="1"/>
    </xf>
    <xf numFmtId="0" fontId="79" fillId="18" borderId="31" xfId="0" applyFont="1" applyFill="1" applyBorder="1" applyAlignment="1">
      <alignment horizontal="center" vertical="center" wrapText="1"/>
    </xf>
    <xf numFmtId="0" fontId="79" fillId="18" borderId="29" xfId="0" applyFont="1" applyFill="1" applyBorder="1" applyAlignment="1">
      <alignment horizontal="center" vertical="center" wrapText="1"/>
    </xf>
    <xf numFmtId="0" fontId="79" fillId="0" borderId="0" xfId="0" applyFont="1" applyFill="1" applyBorder="1" applyAlignment="1">
      <alignment horizontal="center" vertical="center" wrapText="1"/>
    </xf>
    <xf numFmtId="0" fontId="79" fillId="0" borderId="0" xfId="0" applyFont="1" applyFill="1" applyBorder="1" applyAlignment="1">
      <alignment horizontal="center" wrapText="1"/>
    </xf>
    <xf numFmtId="2" fontId="0" fillId="0" borderId="0" xfId="0" applyNumberForma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204" fontId="0" fillId="0" borderId="0" xfId="0" applyNumberFormat="1" applyFill="1" applyBorder="1" applyAlignment="1">
      <alignment horizontal="center" vertical="center"/>
    </xf>
    <xf numFmtId="191" fontId="81" fillId="0" borderId="0" xfId="0" applyNumberFormat="1" applyFont="1" applyFill="1" applyBorder="1" applyAlignment="1">
      <alignment horizontal="center" vertical="center" wrapText="1"/>
    </xf>
    <xf numFmtId="203" fontId="79" fillId="20" borderId="19" xfId="0" applyNumberFormat="1" applyFont="1" applyFill="1" applyBorder="1" applyAlignment="1">
      <alignment horizontal="center" vertical="center"/>
    </xf>
    <xf numFmtId="192" fontId="48" fillId="21" borderId="24" xfId="1" applyNumberFormat="1" applyFont="1" applyFill="1" applyBorder="1" applyAlignment="1">
      <alignment horizontal="center"/>
    </xf>
    <xf numFmtId="192" fontId="48" fillId="21" borderId="25" xfId="1" applyNumberFormat="1" applyFont="1" applyFill="1" applyBorder="1" applyAlignment="1">
      <alignment horizontal="center"/>
    </xf>
    <xf numFmtId="192" fontId="48" fillId="17" borderId="25" xfId="1" applyNumberFormat="1" applyFont="1" applyFill="1" applyBorder="1" applyAlignment="1">
      <alignment horizontal="center"/>
    </xf>
    <xf numFmtId="191" fontId="56" fillId="0" borderId="0" xfId="2" applyNumberFormat="1" applyFont="1" applyFill="1" applyBorder="1" applyAlignment="1">
      <alignment horizontal="center"/>
    </xf>
    <xf numFmtId="3" fontId="85" fillId="0" borderId="0" xfId="0" applyNumberFormat="1" applyFont="1" applyFill="1" applyBorder="1"/>
    <xf numFmtId="191" fontId="85" fillId="0" borderId="0" xfId="0" applyNumberFormat="1" applyFont="1" applyFill="1" applyBorder="1" applyAlignment="1"/>
    <xf numFmtId="203" fontId="56" fillId="0" borderId="0" xfId="2" applyNumberFormat="1" applyFont="1" applyFill="1" applyBorder="1" applyAlignment="1">
      <alignment horizontal="center"/>
    </xf>
    <xf numFmtId="2" fontId="43" fillId="0" borderId="0" xfId="8" applyNumberForma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/>
    </xf>
    <xf numFmtId="204" fontId="0" fillId="0" borderId="0" xfId="0" applyNumberFormat="1" applyFill="1" applyBorder="1"/>
    <xf numFmtId="191" fontId="0" fillId="0" borderId="0" xfId="0" applyNumberFormat="1" applyFill="1" applyBorder="1"/>
    <xf numFmtId="3" fontId="86" fillId="0" borderId="0" xfId="0" applyNumberFormat="1" applyFont="1" applyFill="1" applyBorder="1"/>
    <xf numFmtId="191" fontId="86" fillId="0" borderId="0" xfId="0" applyNumberFormat="1" applyFont="1" applyFill="1" applyBorder="1"/>
    <xf numFmtId="203" fontId="86" fillId="0" borderId="0" xfId="0" applyNumberFormat="1" applyFont="1" applyFill="1" applyBorder="1"/>
    <xf numFmtId="203" fontId="79" fillId="20" borderId="53" xfId="0" applyNumberFormat="1" applyFont="1" applyFill="1" applyBorder="1" applyAlignment="1">
      <alignment horizontal="center" vertical="center"/>
    </xf>
    <xf numFmtId="0" fontId="43" fillId="0" borderId="0" xfId="8" applyNumberFormat="1"/>
    <xf numFmtId="0" fontId="0" fillId="2" borderId="0" xfId="0" applyFill="1"/>
    <xf numFmtId="192" fontId="48" fillId="0" borderId="0" xfId="1" applyNumberFormat="1" applyFont="1"/>
    <xf numFmtId="194" fontId="79" fillId="0" borderId="0" xfId="1" applyNumberFormat="1" applyFont="1" applyAlignment="1">
      <alignment horizontal="center" vertical="center"/>
    </xf>
    <xf numFmtId="192" fontId="48" fillId="0" borderId="0" xfId="1" applyNumberFormat="1" applyFont="1" applyAlignment="1">
      <alignment vertical="center"/>
    </xf>
    <xf numFmtId="191" fontId="0" fillId="0" borderId="0" xfId="0" applyNumberFormat="1" applyFill="1" applyBorder="1" applyAlignment="1"/>
    <xf numFmtId="0" fontId="48" fillId="0" borderId="0" xfId="1" applyNumberFormat="1" applyFont="1" applyBorder="1"/>
    <xf numFmtId="0" fontId="79" fillId="0" borderId="0" xfId="1" applyNumberFormat="1" applyFont="1" applyBorder="1" applyAlignment="1">
      <alignment horizontal="center"/>
    </xf>
    <xf numFmtId="192" fontId="48" fillId="0" borderId="0" xfId="1" applyNumberFormat="1" applyFont="1" applyFill="1" applyBorder="1"/>
    <xf numFmtId="192" fontId="48" fillId="0" borderId="0" xfId="1" applyNumberFormat="1" applyFont="1" applyFill="1" applyBorder="1" applyAlignment="1">
      <alignment horizontal="center"/>
    </xf>
    <xf numFmtId="2" fontId="43" fillId="0" borderId="0" xfId="8" applyNumberFormat="1" applyAlignment="1">
      <alignment horizontal="center" vertical="center"/>
    </xf>
    <xf numFmtId="2" fontId="43" fillId="0" borderId="0" xfId="8" applyNumberFormat="1" applyAlignment="1">
      <alignment horizontal="center" vertical="top"/>
    </xf>
    <xf numFmtId="194" fontId="48" fillId="0" borderId="0" xfId="1" applyNumberFormat="1" applyFont="1" applyFill="1" applyBorder="1"/>
    <xf numFmtId="192" fontId="81" fillId="0" borderId="0" xfId="1" applyNumberFormat="1" applyFont="1" applyFill="1" applyBorder="1" applyAlignment="1">
      <alignment horizontal="center" vertical="center"/>
    </xf>
    <xf numFmtId="192" fontId="81" fillId="0" borderId="0" xfId="1" applyNumberFormat="1" applyFont="1" applyFill="1" applyBorder="1"/>
    <xf numFmtId="194" fontId="87" fillId="0" borderId="0" xfId="0" applyNumberFormat="1" applyFont="1" applyFill="1" applyBorder="1" applyAlignment="1">
      <alignment horizontal="center"/>
    </xf>
    <xf numFmtId="194" fontId="43" fillId="0" borderId="0" xfId="8" applyNumberFormat="1"/>
    <xf numFmtId="1" fontId="0" fillId="0" borderId="0" xfId="0" applyNumberFormat="1"/>
    <xf numFmtId="196" fontId="0" fillId="0" borderId="0" xfId="0" applyNumberFormat="1" applyFont="1" applyBorder="1" applyAlignment="1">
      <alignment horizontal="center" vertical="top" wrapText="1"/>
    </xf>
    <xf numFmtId="192" fontId="59" fillId="0" borderId="0" xfId="0" applyNumberFormat="1" applyFont="1" applyBorder="1" applyAlignment="1">
      <alignment horizontal="center" vertical="center" wrapText="1"/>
    </xf>
    <xf numFmtId="0" fontId="43" fillId="0" borderId="0" xfId="8" applyNumberFormat="1" applyFill="1" applyBorder="1"/>
    <xf numFmtId="192" fontId="48" fillId="0" borderId="0" xfId="1" applyNumberFormat="1" applyFont="1" applyFill="1" applyBorder="1" applyAlignment="1">
      <alignment horizontal="center" vertical="center"/>
    </xf>
    <xf numFmtId="191" fontId="48" fillId="0" borderId="0" xfId="1" applyNumberFormat="1" applyFont="1" applyFill="1" applyBorder="1" applyAlignment="1">
      <alignment horizontal="right"/>
    </xf>
    <xf numFmtId="194" fontId="46" fillId="0" borderId="0" xfId="8" applyNumberFormat="1" applyFont="1" applyAlignment="1">
      <alignment horizontal="center" vertical="center"/>
    </xf>
    <xf numFmtId="0" fontId="88" fillId="0" borderId="0" xfId="0" applyFont="1" applyBorder="1" applyAlignment="1">
      <alignment horizontal="right"/>
    </xf>
    <xf numFmtId="191" fontId="43" fillId="0" borderId="0" xfId="8" applyNumberFormat="1" applyBorder="1" applyAlignment="1">
      <alignment horizontal="center" vertical="center"/>
    </xf>
    <xf numFmtId="0" fontId="89" fillId="0" borderId="0" xfId="0" applyFont="1" applyBorder="1" applyAlignment="1">
      <alignment horizontal="center"/>
    </xf>
    <xf numFmtId="203" fontId="48" fillId="0" borderId="0" xfId="1" applyNumberFormat="1" applyFont="1" applyFill="1" applyBorder="1" applyAlignment="1">
      <alignment horizontal="center"/>
    </xf>
    <xf numFmtId="191" fontId="81" fillId="0" borderId="0" xfId="1" applyNumberFormat="1" applyFont="1" applyFill="1" applyBorder="1" applyAlignment="1">
      <alignment horizontal="center" vertical="center"/>
    </xf>
    <xf numFmtId="0" fontId="88" fillId="0" borderId="0" xfId="0" applyFont="1" applyFill="1" applyBorder="1" applyAlignment="1">
      <alignment horizontal="center"/>
    </xf>
    <xf numFmtId="206" fontId="81" fillId="0" borderId="0" xfId="1" applyNumberFormat="1" applyFont="1" applyFill="1" applyBorder="1" applyAlignment="1">
      <alignment horizontal="center"/>
    </xf>
    <xf numFmtId="206" fontId="48" fillId="0" borderId="0" xfId="1" applyNumberFormat="1" applyFont="1" applyBorder="1" applyAlignment="1">
      <alignment horizontal="center"/>
    </xf>
    <xf numFmtId="194" fontId="48" fillId="0" borderId="0" xfId="1" applyNumberFormat="1" applyFont="1"/>
    <xf numFmtId="192" fontId="0" fillId="0" borderId="0" xfId="0" applyNumberFormat="1" applyFill="1" applyBorder="1"/>
    <xf numFmtId="194" fontId="88" fillId="0" borderId="0" xfId="0" applyNumberFormat="1" applyFont="1" applyFill="1" applyBorder="1" applyAlignment="1">
      <alignment horizontal="right"/>
    </xf>
    <xf numFmtId="0" fontId="88" fillId="0" borderId="0" xfId="0" applyFont="1" applyFill="1" applyBorder="1" applyAlignment="1">
      <alignment horizontal="right"/>
    </xf>
    <xf numFmtId="3" fontId="90" fillId="0" borderId="0" xfId="0" applyNumberFormat="1" applyFont="1" applyFill="1" applyBorder="1" applyAlignment="1">
      <alignment horizontal="center" vertical="center" wrapText="1" readingOrder="1"/>
    </xf>
    <xf numFmtId="3" fontId="91" fillId="0" borderId="0" xfId="0" applyNumberFormat="1" applyFont="1" applyFill="1" applyBorder="1" applyAlignment="1">
      <alignment horizontal="center" vertical="center" wrapText="1" readingOrder="1"/>
    </xf>
    <xf numFmtId="192" fontId="48" fillId="0" borderId="0" xfId="1" applyNumberFormat="1" applyFont="1" applyBorder="1"/>
    <xf numFmtId="0" fontId="92" fillId="0" borderId="0" xfId="0" applyFont="1" applyBorder="1" applyAlignment="1">
      <alignment horizontal="center"/>
    </xf>
    <xf numFmtId="191" fontId="43" fillId="0" borderId="0" xfId="8" applyNumberFormat="1" applyFill="1" applyBorder="1"/>
    <xf numFmtId="191" fontId="43" fillId="0" borderId="0" xfId="8" applyNumberFormat="1" applyBorder="1"/>
    <xf numFmtId="0" fontId="92" fillId="0" borderId="0" xfId="0" applyFont="1" applyBorder="1"/>
    <xf numFmtId="191" fontId="0" fillId="0" borderId="0" xfId="0" applyNumberFormat="1" applyBorder="1" applyAlignment="1"/>
    <xf numFmtId="192" fontId="78" fillId="0" borderId="0" xfId="1" applyNumberFormat="1" applyFont="1"/>
    <xf numFmtId="192" fontId="78" fillId="0" borderId="0" xfId="1" applyNumberFormat="1" applyFont="1" applyFill="1"/>
    <xf numFmtId="192" fontId="48" fillId="0" borderId="0" xfId="1" applyNumberFormat="1" applyFont="1" applyFill="1"/>
    <xf numFmtId="192" fontId="93" fillId="0" borderId="0" xfId="1" applyNumberFormat="1" applyFont="1"/>
    <xf numFmtId="192" fontId="79" fillId="0" borderId="0" xfId="1" applyNumberFormat="1" applyFont="1" applyFill="1" applyBorder="1" applyAlignment="1">
      <alignment horizontal="center" vertical="center" wrapText="1"/>
    </xf>
    <xf numFmtId="192" fontId="78" fillId="0" borderId="0" xfId="1" applyNumberFormat="1" applyFont="1" applyBorder="1"/>
    <xf numFmtId="192" fontId="78" fillId="0" borderId="51" xfId="1" applyNumberFormat="1" applyFont="1" applyBorder="1"/>
    <xf numFmtId="192" fontId="0" fillId="0" borderId="0" xfId="1" applyNumberFormat="1" applyFont="1" applyAlignment="1">
      <alignment horizontal="right"/>
    </xf>
    <xf numFmtId="192" fontId="0" fillId="0" borderId="0" xfId="1" applyNumberFormat="1" applyFont="1"/>
    <xf numFmtId="192" fontId="48" fillId="0" borderId="0" xfId="1" applyNumberFormat="1" applyFont="1" applyBorder="1" applyAlignment="1">
      <alignment horizontal="left"/>
    </xf>
    <xf numFmtId="192" fontId="93" fillId="0" borderId="0" xfId="1" applyNumberFormat="1" applyFont="1" applyFill="1" applyBorder="1"/>
    <xf numFmtId="192" fontId="81" fillId="15" borderId="0" xfId="1" applyNumberFormat="1" applyFont="1" applyFill="1"/>
    <xf numFmtId="192" fontId="48" fillId="15" borderId="0" xfId="1" applyNumberFormat="1" applyFont="1" applyFill="1"/>
    <xf numFmtId="43" fontId="0" fillId="0" borderId="0" xfId="0" applyNumberFormat="1"/>
    <xf numFmtId="192" fontId="0" fillId="0" borderId="0" xfId="1" applyNumberFormat="1" applyFont="1" applyAlignment="1">
      <alignment horizontal="left"/>
    </xf>
    <xf numFmtId="192" fontId="48" fillId="0" borderId="0" xfId="1" applyNumberFormat="1" applyFont="1" applyAlignment="1">
      <alignment wrapText="1"/>
    </xf>
    <xf numFmtId="192" fontId="94" fillId="0" borderId="0" xfId="1" applyNumberFormat="1" applyFont="1" applyFill="1"/>
    <xf numFmtId="192" fontId="81" fillId="0" borderId="0" xfId="1" applyNumberFormat="1" applyFont="1"/>
    <xf numFmtId="203" fontId="78" fillId="0" borderId="0" xfId="1" applyNumberFormat="1" applyFont="1" applyFill="1"/>
    <xf numFmtId="192" fontId="93" fillId="0" borderId="0" xfId="1" applyNumberFormat="1" applyFont="1" applyBorder="1"/>
    <xf numFmtId="192" fontId="81" fillId="0" borderId="0" xfId="1" applyNumberFormat="1" applyFont="1" applyFill="1" applyBorder="1" applyAlignment="1">
      <alignment horizontal="center" vertical="center" wrapText="1"/>
    </xf>
    <xf numFmtId="192" fontId="81" fillId="0" borderId="0" xfId="1" applyNumberFormat="1" applyFont="1" applyFill="1" applyBorder="1" applyAlignment="1">
      <alignment vertical="center" wrapText="1"/>
    </xf>
    <xf numFmtId="0" fontId="0" fillId="28" borderId="0" xfId="0" applyFill="1" applyBorder="1"/>
    <xf numFmtId="192" fontId="79" fillId="21" borderId="22" xfId="1" applyNumberFormat="1" applyFont="1" applyFill="1" applyBorder="1" applyAlignment="1">
      <alignment horizontal="center" vertical="center" wrapText="1"/>
    </xf>
    <xf numFmtId="192" fontId="79" fillId="31" borderId="22" xfId="1" applyNumberFormat="1" applyFont="1" applyFill="1" applyBorder="1" applyAlignment="1">
      <alignment horizontal="center" vertical="center" wrapText="1"/>
    </xf>
    <xf numFmtId="192" fontId="79" fillId="17" borderId="22" xfId="1" applyNumberFormat="1" applyFont="1" applyFill="1" applyBorder="1" applyAlignment="1">
      <alignment horizontal="center" vertical="center" wrapText="1"/>
    </xf>
    <xf numFmtId="192" fontId="79" fillId="21" borderId="2" xfId="1" applyNumberFormat="1" applyFont="1" applyFill="1" applyBorder="1" applyAlignment="1">
      <alignment horizontal="center" vertical="center" wrapText="1"/>
    </xf>
    <xf numFmtId="2" fontId="79" fillId="0" borderId="0" xfId="1" applyNumberFormat="1" applyFont="1" applyFill="1" applyBorder="1" applyAlignment="1">
      <alignment horizontal="center" vertical="center" wrapText="1"/>
    </xf>
    <xf numFmtId="0" fontId="81" fillId="0" borderId="0" xfId="0" applyFont="1" applyFill="1" applyBorder="1" applyAlignment="1">
      <alignment horizontal="center" vertical="center" wrapText="1"/>
    </xf>
    <xf numFmtId="203" fontId="79" fillId="20" borderId="63" xfId="0" applyNumberFormat="1" applyFont="1" applyFill="1" applyBorder="1" applyAlignment="1">
      <alignment horizontal="center" vertical="center"/>
    </xf>
    <xf numFmtId="192" fontId="78" fillId="17" borderId="14" xfId="1" applyNumberFormat="1" applyFont="1" applyFill="1" applyBorder="1" applyAlignment="1">
      <alignment horizontal="center" vertical="center" wrapText="1"/>
    </xf>
    <xf numFmtId="192" fontId="78" fillId="17" borderId="62" xfId="1" applyNumberFormat="1" applyFont="1" applyFill="1" applyBorder="1" applyAlignment="1">
      <alignment horizontal="center" vertical="center" wrapText="1"/>
    </xf>
    <xf numFmtId="203" fontId="0" fillId="0" borderId="0" xfId="0" applyNumberFormat="1" applyFill="1" applyBorder="1"/>
    <xf numFmtId="203" fontId="0" fillId="0" borderId="0" xfId="0" applyNumberFormat="1" applyBorder="1"/>
    <xf numFmtId="2" fontId="0" fillId="0" borderId="0" xfId="0" applyNumberFormat="1" applyBorder="1"/>
    <xf numFmtId="191" fontId="0" fillId="0" borderId="0" xfId="0" applyNumberFormat="1" applyBorder="1" applyAlignment="1">
      <alignment horizontal="center"/>
    </xf>
    <xf numFmtId="192" fontId="78" fillId="17" borderId="7" xfId="1" applyNumberFormat="1" applyFont="1" applyFill="1" applyBorder="1" applyAlignment="1">
      <alignment horizontal="center" vertical="center" wrapText="1"/>
    </xf>
    <xf numFmtId="192" fontId="78" fillId="18" borderId="7" xfId="1" applyNumberFormat="1" applyFont="1" applyFill="1" applyBorder="1" applyAlignment="1">
      <alignment horizontal="center" vertical="center" wrapText="1"/>
    </xf>
    <xf numFmtId="2" fontId="0" fillId="0" borderId="0" xfId="0" applyNumberFormat="1" applyBorder="1" applyAlignment="1">
      <alignment horizontal="center"/>
    </xf>
    <xf numFmtId="192" fontId="90" fillId="0" borderId="0" xfId="1" applyNumberFormat="1" applyFont="1" applyBorder="1"/>
    <xf numFmtId="192" fontId="90" fillId="0" borderId="51" xfId="1" applyNumberFormat="1" applyFont="1" applyBorder="1"/>
    <xf numFmtId="192" fontId="48" fillId="0" borderId="51" xfId="1" applyNumberFormat="1" applyFont="1" applyBorder="1"/>
    <xf numFmtId="15" fontId="0" fillId="0" borderId="0" xfId="0" applyNumberFormat="1" applyBorder="1"/>
    <xf numFmtId="209" fontId="103" fillId="32" borderId="8" xfId="91" applyNumberFormat="1" applyFont="1" applyFill="1" applyBorder="1" applyAlignment="1">
      <alignment horizontal="center" vertical="center"/>
    </xf>
    <xf numFmtId="0" fontId="103" fillId="32" borderId="4" xfId="91" applyFont="1" applyFill="1" applyBorder="1" applyAlignment="1">
      <alignment horizontal="center" vertical="center"/>
    </xf>
    <xf numFmtId="0" fontId="103" fillId="32" borderId="8" xfId="91" applyFont="1" applyFill="1" applyBorder="1" applyAlignment="1">
      <alignment horizontal="center" vertical="center"/>
    </xf>
    <xf numFmtId="49" fontId="104" fillId="33" borderId="7" xfId="0" quotePrefix="1" applyNumberFormat="1" applyFont="1" applyFill="1" applyBorder="1" applyAlignment="1">
      <alignment horizontal="center" vertical="center"/>
    </xf>
    <xf numFmtId="49" fontId="104" fillId="33" borderId="8" xfId="0" quotePrefix="1" applyNumberFormat="1" applyFont="1" applyFill="1" applyBorder="1" applyAlignment="1">
      <alignment horizontal="center" vertical="center"/>
    </xf>
    <xf numFmtId="49" fontId="104" fillId="33" borderId="8" xfId="0" applyNumberFormat="1" applyFont="1" applyFill="1" applyBorder="1" applyAlignment="1">
      <alignment horizontal="center" vertical="center"/>
    </xf>
    <xf numFmtId="210" fontId="101" fillId="19" borderId="10" xfId="91" applyNumberFormat="1" applyFont="1" applyFill="1" applyBorder="1" applyAlignment="1">
      <alignment horizontal="center" vertical="center"/>
    </xf>
    <xf numFmtId="1" fontId="90" fillId="34" borderId="0" xfId="14" applyNumberFormat="1" applyFont="1" applyFill="1" applyBorder="1" applyAlignment="1">
      <alignment horizontal="center" vertical="center"/>
    </xf>
    <xf numFmtId="191" fontId="61" fillId="34" borderId="2" xfId="91" applyNumberFormat="1" applyFont="1" applyFill="1" applyBorder="1" applyAlignment="1">
      <alignment horizontal="center" vertical="center"/>
    </xf>
    <xf numFmtId="191" fontId="61" fillId="34" borderId="9" xfId="91" applyNumberFormat="1" applyFont="1" applyFill="1" applyBorder="1" applyAlignment="1">
      <alignment horizontal="center" vertical="center"/>
    </xf>
    <xf numFmtId="210" fontId="101" fillId="19" borderId="8" xfId="91" applyNumberFormat="1" applyFont="1" applyFill="1" applyBorder="1" applyAlignment="1">
      <alignment horizontal="center" vertical="center"/>
    </xf>
    <xf numFmtId="191" fontId="61" fillId="34" borderId="12" xfId="91" applyNumberFormat="1" applyFont="1" applyFill="1" applyBorder="1" applyAlignment="1">
      <alignment horizontal="center" vertical="center"/>
    </xf>
    <xf numFmtId="1" fontId="90" fillId="34" borderId="3" xfId="14" applyNumberFormat="1" applyFont="1" applyFill="1" applyBorder="1" applyAlignment="1">
      <alignment horizontal="center" vertical="center"/>
    </xf>
    <xf numFmtId="1" fontId="58" fillId="34" borderId="3" xfId="0" applyNumberFormat="1" applyFont="1" applyFill="1" applyBorder="1" applyAlignment="1">
      <alignment horizontal="center" vertical="center"/>
    </xf>
    <xf numFmtId="1" fontId="90" fillId="34" borderId="3" xfId="14" applyNumberFormat="1" applyFont="1" applyFill="1" applyBorder="1" applyAlignment="1">
      <alignment horizontal="center"/>
    </xf>
    <xf numFmtId="1" fontId="90" fillId="34" borderId="0" xfId="14" applyNumberFormat="1" applyFont="1" applyFill="1" applyBorder="1" applyAlignment="1">
      <alignment horizontal="center"/>
    </xf>
    <xf numFmtId="1" fontId="102" fillId="32" borderId="8" xfId="91" applyNumberFormat="1" applyFont="1" applyFill="1" applyBorder="1" applyAlignment="1">
      <alignment horizontal="center" vertical="center"/>
    </xf>
    <xf numFmtId="0" fontId="58" fillId="0" borderId="0" xfId="4"/>
    <xf numFmtId="0" fontId="58" fillId="0" borderId="0" xfId="4" applyFill="1"/>
    <xf numFmtId="203" fontId="111" fillId="27" borderId="53" xfId="1" applyNumberFormat="1" applyFont="1" applyFill="1" applyBorder="1" applyAlignment="1">
      <alignment horizontal="center" vertical="center" wrapText="1"/>
    </xf>
    <xf numFmtId="0" fontId="110" fillId="28" borderId="0" xfId="0" applyFont="1" applyFill="1" applyBorder="1"/>
    <xf numFmtId="191" fontId="110" fillId="25" borderId="8" xfId="0" applyNumberFormat="1" applyFont="1" applyFill="1" applyBorder="1"/>
    <xf numFmtId="0" fontId="110" fillId="25" borderId="8" xfId="0" applyFont="1" applyFill="1" applyBorder="1"/>
    <xf numFmtId="191" fontId="110" fillId="25" borderId="24" xfId="0" applyNumberFormat="1" applyFont="1" applyFill="1" applyBorder="1"/>
    <xf numFmtId="192" fontId="78" fillId="0" borderId="0" xfId="1" applyNumberFormat="1" applyFont="1" applyFill="1" applyBorder="1"/>
    <xf numFmtId="0" fontId="113" fillId="25" borderId="8" xfId="0" applyFont="1" applyFill="1" applyBorder="1"/>
    <xf numFmtId="0" fontId="115" fillId="0" borderId="0" xfId="0" applyFont="1"/>
    <xf numFmtId="212" fontId="49" fillId="2" borderId="0" xfId="0" applyNumberFormat="1" applyFont="1" applyFill="1" applyBorder="1" applyAlignment="1">
      <alignment vertical="center"/>
    </xf>
    <xf numFmtId="213" fontId="52" fillId="2" borderId="0" xfId="0" applyNumberFormat="1" applyFont="1" applyFill="1" applyBorder="1" applyAlignment="1">
      <alignment vertical="center"/>
    </xf>
    <xf numFmtId="191" fontId="110" fillId="25" borderId="10" xfId="0" applyNumberFormat="1" applyFont="1" applyFill="1" applyBorder="1"/>
    <xf numFmtId="192" fontId="0" fillId="0" borderId="0" xfId="0" applyNumberFormat="1"/>
    <xf numFmtId="192" fontId="48" fillId="0" borderId="0" xfId="1" applyNumberFormat="1" applyFont="1" applyFill="1" applyAlignment="1"/>
    <xf numFmtId="192" fontId="79" fillId="21" borderId="1" xfId="1" applyNumberFormat="1" applyFont="1" applyFill="1" applyBorder="1" applyAlignment="1">
      <alignment horizontal="center" vertical="center" wrapText="1"/>
    </xf>
    <xf numFmtId="192" fontId="79" fillId="21" borderId="9" xfId="1" applyNumberFormat="1" applyFont="1" applyFill="1" applyBorder="1" applyAlignment="1">
      <alignment horizontal="center" vertical="center" wrapText="1"/>
    </xf>
    <xf numFmtId="192" fontId="48" fillId="8" borderId="60" xfId="1" applyNumberFormat="1" applyFont="1" applyFill="1" applyBorder="1" applyAlignment="1">
      <alignment horizontal="center" vertical="center" wrapText="1"/>
    </xf>
    <xf numFmtId="192" fontId="48" fillId="8" borderId="24" xfId="1" applyNumberFormat="1" applyFont="1" applyFill="1" applyBorder="1" applyAlignment="1">
      <alignment horizontal="center" vertical="center" wrapText="1"/>
    </xf>
    <xf numFmtId="192" fontId="48" fillId="8" borderId="53" xfId="1" applyNumberFormat="1" applyFont="1" applyFill="1" applyBorder="1" applyAlignment="1">
      <alignment horizontal="center" vertical="center" wrapText="1"/>
    </xf>
    <xf numFmtId="192" fontId="48" fillId="31" borderId="60" xfId="1" applyNumberFormat="1" applyFont="1" applyFill="1" applyBorder="1" applyAlignment="1">
      <alignment horizontal="center" vertical="center" wrapText="1"/>
    </xf>
    <xf numFmtId="0" fontId="41" fillId="2" borderId="0" xfId="8" applyFont="1" applyFill="1"/>
    <xf numFmtId="191" fontId="46" fillId="2" borderId="0" xfId="8" applyNumberFormat="1" applyFont="1" applyFill="1"/>
    <xf numFmtId="0" fontId="46" fillId="0" borderId="0" xfId="8" applyFont="1" applyFill="1" applyBorder="1"/>
    <xf numFmtId="0" fontId="70" fillId="0" borderId="0" xfId="8" applyFont="1" applyFill="1" applyBorder="1"/>
    <xf numFmtId="198" fontId="54" fillId="0" borderId="0" xfId="1" applyNumberFormat="1" applyFont="1" applyFill="1" applyBorder="1" applyAlignment="1">
      <alignment horizontal="left" vertical="center"/>
    </xf>
    <xf numFmtId="0" fontId="46" fillId="2" borderId="0" xfId="8" applyFont="1" applyFill="1"/>
    <xf numFmtId="192" fontId="48" fillId="17" borderId="53" xfId="1" applyNumberFormat="1" applyFont="1" applyFill="1" applyBorder="1" applyAlignment="1">
      <alignment horizontal="center"/>
    </xf>
    <xf numFmtId="192" fontId="78" fillId="17" borderId="54" xfId="1" applyNumberFormat="1" applyFont="1" applyFill="1" applyBorder="1" applyAlignment="1">
      <alignment horizontal="center" vertical="center" wrapText="1"/>
    </xf>
    <xf numFmtId="192" fontId="78" fillId="17" borderId="21" xfId="1" applyNumberFormat="1" applyFont="1" applyFill="1" applyBorder="1" applyAlignment="1">
      <alignment horizontal="center" vertical="center" wrapText="1"/>
    </xf>
    <xf numFmtId="192" fontId="48" fillId="8" borderId="6" xfId="1" applyNumberFormat="1" applyFont="1" applyFill="1" applyBorder="1" applyAlignment="1">
      <alignment horizontal="center" vertical="center" wrapText="1"/>
    </xf>
    <xf numFmtId="192" fontId="105" fillId="32" borderId="8" xfId="1" applyNumberFormat="1" applyFont="1" applyFill="1" applyBorder="1" applyAlignment="1">
      <alignment horizontal="center" vertical="center"/>
    </xf>
    <xf numFmtId="0" fontId="93" fillId="0" borderId="0" xfId="0" applyNumberFormat="1" applyFont="1" applyFill="1" applyBorder="1"/>
    <xf numFmtId="2" fontId="78" fillId="0" borderId="8" xfId="0" applyNumberFormat="1" applyFont="1" applyFill="1" applyBorder="1"/>
    <xf numFmtId="209" fontId="48" fillId="0" borderId="0" xfId="1" applyNumberFormat="1" applyFont="1" applyAlignment="1">
      <alignment horizontal="left"/>
    </xf>
    <xf numFmtId="192" fontId="0" fillId="0" borderId="0" xfId="1" applyNumberFormat="1" applyFont="1" applyAlignment="1">
      <alignment horizontal="center"/>
    </xf>
    <xf numFmtId="0" fontId="93" fillId="0" borderId="0" xfId="0" applyFont="1"/>
    <xf numFmtId="0" fontId="0" fillId="15" borderId="0" xfId="0" applyFill="1"/>
    <xf numFmtId="0" fontId="116" fillId="0" borderId="0" xfId="0" applyFont="1"/>
    <xf numFmtId="204" fontId="47" fillId="2" borderId="0" xfId="8" applyNumberFormat="1" applyFont="1" applyFill="1"/>
    <xf numFmtId="0" fontId="78" fillId="0" borderId="0" xfId="0" applyFont="1"/>
    <xf numFmtId="0" fontId="78" fillId="0" borderId="1" xfId="0" applyFont="1" applyBorder="1"/>
    <xf numFmtId="0" fontId="78" fillId="0" borderId="3" xfId="0" applyFont="1" applyBorder="1"/>
    <xf numFmtId="0" fontId="55" fillId="2" borderId="0" xfId="0" applyFont="1" applyFill="1" applyBorder="1" applyAlignment="1">
      <alignment vertical="center"/>
    </xf>
    <xf numFmtId="0" fontId="78" fillId="0" borderId="0" xfId="0" applyFont="1" applyBorder="1"/>
    <xf numFmtId="0" fontId="78" fillId="2" borderId="0" xfId="0" applyFont="1" applyFill="1" applyBorder="1" applyAlignment="1">
      <alignment vertical="center"/>
    </xf>
    <xf numFmtId="191" fontId="53" fillId="0" borderId="0" xfId="0" applyNumberFormat="1" applyFont="1" applyFill="1" applyBorder="1" applyAlignment="1">
      <alignment vertical="center"/>
    </xf>
    <xf numFmtId="0" fontId="78" fillId="0" borderId="0" xfId="0" applyFont="1" applyFill="1" applyBorder="1" applyAlignment="1">
      <alignment vertical="center"/>
    </xf>
    <xf numFmtId="193" fontId="53" fillId="0" borderId="0" xfId="0" applyNumberFormat="1" applyFont="1" applyFill="1" applyBorder="1" applyAlignment="1">
      <alignment vertical="center"/>
    </xf>
    <xf numFmtId="0" fontId="78" fillId="2" borderId="0" xfId="0" applyFont="1" applyFill="1" applyBorder="1"/>
    <xf numFmtId="198" fontId="55" fillId="2" borderId="0" xfId="1" applyNumberFormat="1" applyFont="1" applyFill="1" applyBorder="1" applyAlignment="1">
      <alignment horizontal="left" vertical="center"/>
    </xf>
    <xf numFmtId="198" fontId="55" fillId="2" borderId="0" xfId="1" applyNumberFormat="1" applyFont="1" applyFill="1" applyBorder="1" applyAlignment="1">
      <alignment horizontal="center" vertical="center"/>
    </xf>
    <xf numFmtId="0" fontId="78" fillId="0" borderId="0" xfId="0" applyFont="1" applyFill="1" applyBorder="1"/>
    <xf numFmtId="0" fontId="55" fillId="2" borderId="8" xfId="0" applyFont="1" applyFill="1" applyBorder="1"/>
    <xf numFmtId="3" fontId="78" fillId="2" borderId="0" xfId="0" applyNumberFormat="1" applyFont="1" applyFill="1" applyBorder="1"/>
    <xf numFmtId="192" fontId="78" fillId="2" borderId="0" xfId="0" applyNumberFormat="1" applyFont="1" applyFill="1" applyBorder="1"/>
    <xf numFmtId="0" fontId="55" fillId="2" borderId="8" xfId="0" applyFont="1" applyFill="1" applyBorder="1" applyAlignment="1">
      <alignment horizontal="center"/>
    </xf>
    <xf numFmtId="0" fontId="55" fillId="0" borderId="8" xfId="0" applyFont="1" applyBorder="1" applyAlignment="1">
      <alignment horizontal="center"/>
    </xf>
    <xf numFmtId="0" fontId="78" fillId="0" borderId="11" xfId="0" applyFont="1" applyBorder="1"/>
    <xf numFmtId="0" fontId="78" fillId="0" borderId="13" xfId="0" applyFont="1" applyBorder="1"/>
    <xf numFmtId="3" fontId="53" fillId="0" borderId="0" xfId="0" applyNumberFormat="1" applyFont="1" applyFill="1" applyBorder="1" applyAlignment="1">
      <alignment vertical="center"/>
    </xf>
    <xf numFmtId="0" fontId="55" fillId="2" borderId="0" xfId="0" applyFont="1" applyFill="1" applyBorder="1"/>
    <xf numFmtId="191" fontId="53" fillId="5" borderId="10" xfId="0" applyNumberFormat="1" applyFont="1" applyFill="1" applyBorder="1" applyAlignment="1">
      <alignment horizontal="center" vertical="center" wrapText="1"/>
    </xf>
    <xf numFmtId="192" fontId="93" fillId="0" borderId="0" xfId="1" quotePrefix="1" applyNumberFormat="1" applyFont="1" applyFill="1" applyBorder="1"/>
    <xf numFmtId="194" fontId="85" fillId="0" borderId="0" xfId="0" applyNumberFormat="1" applyFont="1" applyFill="1" applyBorder="1"/>
    <xf numFmtId="0" fontId="73" fillId="13" borderId="9" xfId="8" applyFont="1" applyFill="1" applyBorder="1" applyAlignment="1">
      <alignment horizontal="center" vertical="center"/>
    </xf>
    <xf numFmtId="10" fontId="43" fillId="9" borderId="8" xfId="8" applyNumberFormat="1" applyFill="1" applyBorder="1"/>
    <xf numFmtId="215" fontId="75" fillId="2" borderId="0" xfId="8" applyNumberFormat="1" applyFont="1" applyFill="1"/>
    <xf numFmtId="0" fontId="78" fillId="0" borderId="2" xfId="0" applyFont="1" applyBorder="1"/>
    <xf numFmtId="0" fontId="78" fillId="0" borderId="4" xfId="0" applyFont="1" applyBorder="1"/>
    <xf numFmtId="0" fontId="118" fillId="0" borderId="0" xfId="0" applyFont="1" applyBorder="1" applyAlignment="1">
      <alignment horizontal="left" indent="12"/>
    </xf>
    <xf numFmtId="0" fontId="78" fillId="2" borderId="4" xfId="0" applyFont="1" applyFill="1" applyBorder="1"/>
    <xf numFmtId="0" fontId="78" fillId="0" borderId="14" xfId="0" applyFont="1" applyBorder="1"/>
    <xf numFmtId="0" fontId="43" fillId="15" borderId="8" xfId="8" applyFont="1" applyFill="1" applyBorder="1" applyAlignment="1"/>
    <xf numFmtId="0" fontId="119" fillId="2" borderId="0" xfId="8" applyFont="1" applyFill="1" applyAlignment="1">
      <alignment horizontal="center"/>
    </xf>
    <xf numFmtId="0" fontId="40" fillId="38" borderId="8" xfId="8" applyFont="1" applyFill="1" applyBorder="1" applyAlignment="1"/>
    <xf numFmtId="0" fontId="43" fillId="38" borderId="8" xfId="8" applyFont="1" applyFill="1" applyBorder="1" applyAlignment="1"/>
    <xf numFmtId="0" fontId="43" fillId="38" borderId="5" xfId="8" applyFont="1" applyFill="1" applyBorder="1" applyAlignment="1">
      <alignment horizontal="left"/>
    </xf>
    <xf numFmtId="0" fontId="43" fillId="38" borderId="8" xfId="8" applyFill="1" applyBorder="1" applyAlignment="1">
      <alignment horizontal="left"/>
    </xf>
    <xf numFmtId="0" fontId="40" fillId="15" borderId="8" xfId="8" applyFont="1" applyFill="1" applyBorder="1" applyAlignment="1"/>
    <xf numFmtId="194" fontId="51" fillId="0" borderId="10" xfId="0" applyNumberFormat="1" applyFont="1" applyFill="1" applyBorder="1" applyAlignment="1">
      <alignment horizontal="right" vertical="center"/>
    </xf>
    <xf numFmtId="194" fontId="74" fillId="15" borderId="7" xfId="8" applyNumberFormat="1" applyFont="1" applyFill="1" applyBorder="1" applyAlignment="1">
      <alignment horizontal="center"/>
    </xf>
    <xf numFmtId="0" fontId="120" fillId="0" borderId="0" xfId="0" applyFont="1"/>
    <xf numFmtId="0" fontId="120" fillId="2" borderId="0" xfId="0" applyFont="1" applyFill="1" applyBorder="1" applyAlignment="1">
      <alignment vertical="center"/>
    </xf>
    <xf numFmtId="0" fontId="121" fillId="2" borderId="0" xfId="0" applyFont="1" applyFill="1" applyBorder="1" applyAlignment="1">
      <alignment horizontal="right" vertical="center"/>
    </xf>
    <xf numFmtId="194" fontId="121" fillId="2" borderId="0" xfId="0" applyNumberFormat="1" applyFont="1" applyFill="1" applyBorder="1" applyAlignment="1">
      <alignment vertical="center"/>
    </xf>
    <xf numFmtId="0" fontId="121" fillId="2" borderId="0" xfId="0" applyFont="1" applyFill="1" applyBorder="1" applyAlignment="1">
      <alignment vertical="center"/>
    </xf>
    <xf numFmtId="0" fontId="120" fillId="0" borderId="0" xfId="0" applyFont="1" applyBorder="1"/>
    <xf numFmtId="194" fontId="52" fillId="15" borderId="10" xfId="0" applyNumberFormat="1" applyFont="1" applyFill="1" applyBorder="1" applyAlignment="1">
      <alignment horizontal="right" vertical="center"/>
    </xf>
    <xf numFmtId="194" fontId="52" fillId="18" borderId="10" xfId="0" applyNumberFormat="1" applyFont="1" applyFill="1" applyBorder="1" applyAlignment="1">
      <alignment horizontal="right" vertical="center"/>
    </xf>
    <xf numFmtId="191" fontId="123" fillId="0" borderId="0" xfId="0" applyNumberFormat="1" applyFont="1" applyFill="1" applyBorder="1" applyAlignment="1">
      <alignment vertical="center"/>
    </xf>
    <xf numFmtId="0" fontId="58" fillId="0" borderId="0" xfId="4" applyFont="1" applyAlignment="1">
      <alignment horizontal="right"/>
    </xf>
    <xf numFmtId="197" fontId="58" fillId="0" borderId="0" xfId="1" applyNumberFormat="1" applyFont="1" applyBorder="1"/>
    <xf numFmtId="0" fontId="58" fillId="0" borderId="0" xfId="4" applyFont="1" applyBorder="1" applyAlignment="1">
      <alignment horizontal="right"/>
    </xf>
    <xf numFmtId="0" fontId="58" fillId="0" borderId="0" xfId="4" applyFont="1" applyBorder="1"/>
    <xf numFmtId="0" fontId="58" fillId="0" borderId="0" xfId="4" applyFont="1" applyBorder="1" applyAlignment="1">
      <alignment horizontal="center"/>
    </xf>
    <xf numFmtId="0" fontId="58" fillId="0" borderId="0" xfId="4" applyFont="1" applyAlignment="1">
      <alignment horizontal="center"/>
    </xf>
    <xf numFmtId="2" fontId="58" fillId="0" borderId="0" xfId="4" applyNumberFormat="1" applyFont="1" applyBorder="1" applyAlignment="1">
      <alignment horizontal="center"/>
    </xf>
    <xf numFmtId="192" fontId="94" fillId="0" borderId="23" xfId="1" applyNumberFormat="1" applyFont="1" applyFill="1" applyBorder="1" applyAlignment="1">
      <alignment horizontal="center" vertical="center" wrapText="1"/>
    </xf>
    <xf numFmtId="0" fontId="78" fillId="0" borderId="0" xfId="0" applyFont="1" applyBorder="1" applyAlignment="1">
      <alignment horizontal="center"/>
    </xf>
    <xf numFmtId="0" fontId="53" fillId="0" borderId="0" xfId="0" applyFont="1" applyFill="1" applyBorder="1" applyAlignment="1">
      <alignment horizontal="center" vertical="center"/>
    </xf>
    <xf numFmtId="3" fontId="55" fillId="0" borderId="0" xfId="0" applyNumberFormat="1" applyFont="1" applyBorder="1"/>
    <xf numFmtId="198" fontId="55" fillId="2" borderId="0" xfId="1" applyNumberFormat="1" applyFont="1" applyFill="1" applyBorder="1"/>
    <xf numFmtId="3" fontId="53" fillId="0" borderId="0" xfId="0" applyNumberFormat="1" applyFont="1" applyFill="1" applyBorder="1" applyAlignment="1">
      <alignment horizontal="right" vertical="center"/>
    </xf>
    <xf numFmtId="191" fontId="53" fillId="0" borderId="0" xfId="0" applyNumberFormat="1" applyFont="1" applyFill="1" applyBorder="1" applyAlignment="1">
      <alignment horizontal="right" vertical="center"/>
    </xf>
    <xf numFmtId="191" fontId="110" fillId="28" borderId="8" xfId="0" applyNumberFormat="1" applyFont="1" applyFill="1" applyBorder="1"/>
    <xf numFmtId="192" fontId="94" fillId="0" borderId="0" xfId="1" applyNumberFormat="1" applyFont="1" applyAlignment="1">
      <alignment horizontal="center"/>
    </xf>
    <xf numFmtId="191" fontId="78" fillId="0" borderId="0" xfId="0" applyNumberFormat="1" applyFont="1" applyFill="1" applyBorder="1" applyAlignment="1">
      <alignment horizontal="center"/>
    </xf>
    <xf numFmtId="2" fontId="78" fillId="0" borderId="0" xfId="0" applyNumberFormat="1" applyFont="1" applyFill="1" applyBorder="1" applyAlignment="1">
      <alignment horizontal="center"/>
    </xf>
    <xf numFmtId="2" fontId="78" fillId="0" borderId="0" xfId="0" applyNumberFormat="1" applyFont="1" applyFill="1" applyBorder="1"/>
    <xf numFmtId="203" fontId="78" fillId="0" borderId="0" xfId="0" applyNumberFormat="1" applyFont="1" applyFill="1" applyBorder="1"/>
    <xf numFmtId="192" fontId="127" fillId="30" borderId="50" xfId="1" applyNumberFormat="1" applyFont="1" applyFill="1" applyBorder="1"/>
    <xf numFmtId="208" fontId="127" fillId="28" borderId="50" xfId="0" applyNumberFormat="1" applyFont="1" applyFill="1" applyBorder="1"/>
    <xf numFmtId="192" fontId="127" fillId="28" borderId="50" xfId="1" applyNumberFormat="1" applyFont="1" applyFill="1" applyBorder="1"/>
    <xf numFmtId="0" fontId="127" fillId="30" borderId="49" xfId="0" applyFont="1" applyFill="1" applyBorder="1"/>
    <xf numFmtId="192" fontId="128" fillId="30" borderId="50" xfId="1" applyNumberFormat="1" applyFont="1" applyFill="1" applyBorder="1"/>
    <xf numFmtId="0" fontId="129" fillId="30" borderId="49" xfId="0" applyFont="1" applyFill="1" applyBorder="1"/>
    <xf numFmtId="192" fontId="129" fillId="30" borderId="50" xfId="1" applyNumberFormat="1" applyFont="1" applyFill="1" applyBorder="1"/>
    <xf numFmtId="0" fontId="127" fillId="0" borderId="0" xfId="0" applyFont="1"/>
    <xf numFmtId="203" fontId="78" fillId="0" borderId="0" xfId="0" applyNumberFormat="1" applyFont="1" applyBorder="1"/>
    <xf numFmtId="191" fontId="78" fillId="0" borderId="0" xfId="0" applyNumberFormat="1" applyFont="1" applyBorder="1" applyAlignment="1">
      <alignment horizontal="center"/>
    </xf>
    <xf numFmtId="0" fontId="0" fillId="0" borderId="0" xfId="0" applyFill="1"/>
    <xf numFmtId="189" fontId="0" fillId="0" borderId="0" xfId="0" applyNumberFormat="1" applyFill="1"/>
    <xf numFmtId="0" fontId="81" fillId="0" borderId="0" xfId="0" applyFont="1" applyFill="1"/>
    <xf numFmtId="192" fontId="123" fillId="0" borderId="0" xfId="1" applyNumberFormat="1" applyFont="1" applyFill="1" applyBorder="1" applyAlignment="1">
      <alignment horizontal="center" vertical="center"/>
    </xf>
    <xf numFmtId="192" fontId="94" fillId="15" borderId="0" xfId="1" applyNumberFormat="1" applyFont="1" applyFill="1"/>
    <xf numFmtId="191" fontId="53" fillId="0" borderId="13" xfId="0" applyNumberFormat="1" applyFont="1" applyFill="1" applyBorder="1" applyAlignment="1">
      <alignment vertical="center"/>
    </xf>
    <xf numFmtId="0" fontId="75" fillId="2" borderId="8" xfId="8" applyFont="1" applyFill="1" applyBorder="1" applyAlignment="1">
      <alignment horizontal="right"/>
    </xf>
    <xf numFmtId="197" fontId="142" fillId="9" borderId="8" xfId="1" applyNumberFormat="1" applyFont="1" applyFill="1" applyBorder="1" applyAlignment="1">
      <alignment horizontal="right"/>
    </xf>
    <xf numFmtId="215" fontId="142" fillId="2" borderId="0" xfId="8" applyNumberFormat="1" applyFont="1" applyFill="1"/>
    <xf numFmtId="0" fontId="143" fillId="0" borderId="0" xfId="0" applyFont="1"/>
    <xf numFmtId="0" fontId="45" fillId="2" borderId="8" xfId="8" applyFont="1" applyFill="1" applyBorder="1" applyAlignment="1">
      <alignment horizontal="right"/>
    </xf>
    <xf numFmtId="194" fontId="78" fillId="2" borderId="0" xfId="0" applyNumberFormat="1" applyFont="1" applyFill="1" applyBorder="1" applyAlignment="1">
      <alignment vertical="center"/>
    </xf>
    <xf numFmtId="0" fontId="36" fillId="2" borderId="0" xfId="8" applyFont="1" applyFill="1"/>
    <xf numFmtId="2" fontId="43" fillId="2" borderId="0" xfId="8" applyNumberFormat="1" applyFill="1"/>
    <xf numFmtId="215" fontId="0" fillId="0" borderId="0" xfId="0" applyNumberFormat="1"/>
    <xf numFmtId="189" fontId="78" fillId="0" borderId="0" xfId="1" applyNumberFormat="1" applyFont="1" applyFill="1"/>
    <xf numFmtId="197" fontId="0" fillId="0" borderId="0" xfId="1" applyNumberFormat="1" applyFont="1"/>
    <xf numFmtId="204" fontId="45" fillId="2" borderId="0" xfId="8" applyNumberFormat="1" applyFont="1" applyFill="1"/>
    <xf numFmtId="191" fontId="43" fillId="0" borderId="0" xfId="8" applyNumberFormat="1" applyBorder="1" applyAlignment="1">
      <alignment horizontal="center"/>
    </xf>
    <xf numFmtId="191" fontId="45" fillId="2" borderId="0" xfId="8" applyNumberFormat="1" applyFont="1" applyFill="1"/>
    <xf numFmtId="2" fontId="78" fillId="0" borderId="0" xfId="0" applyNumberFormat="1" applyFont="1" applyBorder="1"/>
    <xf numFmtId="0" fontId="127" fillId="28" borderId="50" xfId="0" applyFont="1" applyFill="1" applyBorder="1"/>
    <xf numFmtId="191" fontId="73" fillId="9" borderId="8" xfId="8" applyNumberFormat="1" applyFont="1" applyFill="1" applyBorder="1" applyAlignment="1">
      <alignment horizontal="right" vertical="center" wrapText="1"/>
    </xf>
    <xf numFmtId="1" fontId="73" fillId="9" borderId="8" xfId="8" applyNumberFormat="1" applyFont="1" applyFill="1" applyBorder="1" applyAlignment="1">
      <alignment horizontal="right" vertical="center" wrapText="1"/>
    </xf>
    <xf numFmtId="209" fontId="81" fillId="15" borderId="0" xfId="1" applyNumberFormat="1" applyFont="1" applyFill="1" applyAlignment="1">
      <alignment horizontal="left"/>
    </xf>
    <xf numFmtId="192" fontId="48" fillId="0" borderId="0" xfId="1" applyNumberFormat="1" applyFont="1" applyAlignment="1">
      <alignment horizontal="left"/>
    </xf>
    <xf numFmtId="0" fontId="46" fillId="14" borderId="8" xfId="8" applyFont="1" applyFill="1" applyBorder="1" applyAlignment="1">
      <alignment horizontal="center" vertical="center" wrapText="1"/>
    </xf>
    <xf numFmtId="2" fontId="46" fillId="9" borderId="8" xfId="8" applyNumberFormat="1" applyFont="1" applyFill="1" applyBorder="1" applyAlignment="1">
      <alignment horizontal="center" vertical="center" wrapText="1"/>
    </xf>
    <xf numFmtId="189" fontId="81" fillId="15" borderId="0" xfId="0" applyNumberFormat="1" applyFont="1" applyFill="1"/>
    <xf numFmtId="2" fontId="46" fillId="9" borderId="8" xfId="8" applyNumberFormat="1" applyFont="1" applyFill="1" applyBorder="1" applyAlignment="1">
      <alignment horizontal="center" vertical="center" wrapText="1"/>
    </xf>
    <xf numFmtId="0" fontId="156" fillId="2" borderId="0" xfId="8" applyFont="1" applyFill="1" applyAlignment="1">
      <alignment horizontal="left"/>
    </xf>
    <xf numFmtId="0" fontId="43" fillId="0" borderId="8" xfId="8" applyFont="1" applyFill="1" applyBorder="1" applyAlignment="1"/>
    <xf numFmtId="197" fontId="74" fillId="0" borderId="8" xfId="1" applyNumberFormat="1" applyFont="1" applyFill="1" applyBorder="1" applyAlignment="1">
      <alignment horizontal="center" vertical="center" wrapText="1"/>
    </xf>
    <xf numFmtId="3" fontId="43" fillId="14" borderId="8" xfId="8" applyNumberFormat="1" applyFont="1" applyFill="1" applyBorder="1" applyAlignment="1">
      <alignment horizontal="center"/>
    </xf>
    <xf numFmtId="197" fontId="33" fillId="9" borderId="8" xfId="1" applyNumberFormat="1" applyFont="1" applyFill="1" applyBorder="1" applyAlignment="1">
      <alignment horizontal="center" vertical="center" wrapText="1"/>
    </xf>
    <xf numFmtId="197" fontId="33" fillId="14" borderId="8" xfId="8" applyNumberFormat="1" applyFont="1" applyFill="1" applyBorder="1" applyAlignment="1">
      <alignment horizontal="center" vertical="center" wrapText="1"/>
    </xf>
    <xf numFmtId="194" fontId="43" fillId="0" borderId="8" xfId="8" applyNumberFormat="1" applyFont="1" applyFill="1" applyBorder="1" applyAlignment="1">
      <alignment horizontal="center"/>
    </xf>
    <xf numFmtId="0" fontId="40" fillId="0" borderId="8" xfId="8" applyFont="1" applyFill="1" applyBorder="1" applyAlignment="1"/>
    <xf numFmtId="192" fontId="79" fillId="31" borderId="38" xfId="1" applyNumberFormat="1" applyFont="1" applyFill="1" applyBorder="1" applyAlignment="1">
      <alignment horizontal="center" vertical="center" wrapText="1"/>
    </xf>
    <xf numFmtId="192" fontId="79" fillId="31" borderId="1" xfId="1" applyNumberFormat="1" applyFont="1" applyFill="1" applyBorder="1" applyAlignment="1">
      <alignment horizontal="center" vertical="center" wrapText="1"/>
    </xf>
    <xf numFmtId="192" fontId="79" fillId="31" borderId="9" xfId="1" applyNumberFormat="1" applyFont="1" applyFill="1" applyBorder="1" applyAlignment="1">
      <alignment horizontal="center" vertical="center" wrapText="1"/>
    </xf>
    <xf numFmtId="192" fontId="79" fillId="17" borderId="61" xfId="1" applyNumberFormat="1" applyFont="1" applyFill="1" applyBorder="1" applyAlignment="1">
      <alignment horizontal="center" vertical="center" wrapText="1"/>
    </xf>
    <xf numFmtId="192" fontId="79" fillId="17" borderId="9" xfId="1" applyNumberFormat="1" applyFont="1" applyFill="1" applyBorder="1" applyAlignment="1">
      <alignment horizontal="center" vertical="center" wrapText="1"/>
    </xf>
    <xf numFmtId="192" fontId="79" fillId="17" borderId="69" xfId="1" applyNumberFormat="1" applyFont="1" applyFill="1" applyBorder="1" applyAlignment="1">
      <alignment horizontal="center" vertical="center" wrapText="1"/>
    </xf>
    <xf numFmtId="192" fontId="78" fillId="18" borderId="34" xfId="1" applyNumberFormat="1" applyFont="1" applyFill="1" applyBorder="1" applyAlignment="1">
      <alignment horizontal="center" vertical="center" wrapText="1"/>
    </xf>
    <xf numFmtId="192" fontId="78" fillId="18" borderId="60" xfId="1" applyNumberFormat="1" applyFont="1" applyFill="1" applyBorder="1" applyAlignment="1">
      <alignment horizontal="center" vertical="center" wrapText="1"/>
    </xf>
    <xf numFmtId="200" fontId="131" fillId="0" borderId="8" xfId="254" applyFont="1" applyFill="1" applyBorder="1" applyAlignment="1">
      <alignment horizontal="center" vertical="center" wrapText="1" readingOrder="1"/>
    </xf>
    <xf numFmtId="217" fontId="133" fillId="0" borderId="0" xfId="254" applyNumberFormat="1" applyFont="1"/>
    <xf numFmtId="0" fontId="134" fillId="0" borderId="0" xfId="254" applyNumberFormat="1" applyFont="1"/>
    <xf numFmtId="1" fontId="134" fillId="0" borderId="0" xfId="254" applyNumberFormat="1" applyFont="1"/>
    <xf numFmtId="200" fontId="134" fillId="0" borderId="0" xfId="254" applyFont="1"/>
    <xf numFmtId="200" fontId="131" fillId="0" borderId="8" xfId="254" applyFont="1" applyFill="1" applyBorder="1" applyAlignment="1">
      <alignment horizontal="center" wrapText="1" readingOrder="1"/>
    </xf>
    <xf numFmtId="200" fontId="134" fillId="0" borderId="8" xfId="254" applyFont="1" applyBorder="1"/>
    <xf numFmtId="217" fontId="134" fillId="0" borderId="0" xfId="254" applyNumberFormat="1" applyFont="1"/>
    <xf numFmtId="0" fontId="150" fillId="0" borderId="8" xfId="254" applyNumberFormat="1" applyFont="1" applyFill="1" applyBorder="1" applyAlignment="1">
      <alignment horizontal="center" vertical="center" wrapText="1" readingOrder="1"/>
    </xf>
    <xf numFmtId="14" fontId="150" fillId="0" borderId="8" xfId="254" applyNumberFormat="1" applyFont="1" applyFill="1" applyBorder="1" applyAlignment="1">
      <alignment horizontal="center" vertical="center" wrapText="1" readingOrder="1"/>
    </xf>
    <xf numFmtId="22" fontId="150" fillId="0" borderId="8" xfId="254" applyNumberFormat="1" applyFont="1" applyFill="1" applyBorder="1" applyAlignment="1">
      <alignment horizontal="center" vertical="center" wrapText="1" readingOrder="1"/>
    </xf>
    <xf numFmtId="200" fontId="150" fillId="0" borderId="8" xfId="254" applyFont="1" applyFill="1" applyBorder="1" applyAlignment="1">
      <alignment horizontal="center" vertical="center" wrapText="1" readingOrder="1"/>
    </xf>
    <xf numFmtId="217" fontId="151" fillId="0" borderId="8" xfId="254" applyNumberFormat="1" applyFont="1" applyBorder="1" applyAlignment="1">
      <alignment horizontal="right"/>
    </xf>
    <xf numFmtId="200" fontId="150" fillId="0" borderId="8" xfId="254" applyFont="1" applyBorder="1"/>
    <xf numFmtId="200" fontId="150" fillId="0" borderId="9" xfId="254" applyFont="1" applyFill="1" applyBorder="1" applyAlignment="1">
      <alignment horizontal="center" vertical="center" wrapText="1" readingOrder="1"/>
    </xf>
    <xf numFmtId="200" fontId="150" fillId="2" borderId="8" xfId="254" applyFont="1" applyFill="1" applyBorder="1"/>
    <xf numFmtId="200" fontId="134" fillId="2" borderId="8" xfId="254" applyFont="1" applyFill="1" applyBorder="1"/>
    <xf numFmtId="217" fontId="134" fillId="2" borderId="0" xfId="254" applyNumberFormat="1" applyFont="1" applyFill="1"/>
    <xf numFmtId="0" fontId="134" fillId="2" borderId="0" xfId="254" applyNumberFormat="1" applyFont="1" applyFill="1"/>
    <xf numFmtId="1" fontId="134" fillId="2" borderId="0" xfId="254" applyNumberFormat="1" applyFont="1" applyFill="1"/>
    <xf numFmtId="200" fontId="134" fillId="2" borderId="0" xfId="254" applyFont="1" applyFill="1"/>
    <xf numFmtId="14" fontId="150" fillId="2" borderId="8" xfId="254" applyNumberFormat="1" applyFont="1" applyFill="1" applyBorder="1" applyAlignment="1">
      <alignment horizontal="center" vertical="center" wrapText="1" readingOrder="1"/>
    </xf>
    <xf numFmtId="200" fontId="150" fillId="2" borderId="8" xfId="254" applyFont="1" applyFill="1" applyBorder="1" applyAlignment="1">
      <alignment horizontal="center" vertical="center" wrapText="1" readingOrder="1"/>
    </xf>
    <xf numFmtId="22" fontId="150" fillId="2" borderId="8" xfId="254" applyNumberFormat="1" applyFont="1" applyFill="1" applyBorder="1" applyAlignment="1">
      <alignment horizontal="center" vertical="center" wrapText="1" readingOrder="1"/>
    </xf>
    <xf numFmtId="22" fontId="150" fillId="0" borderId="8" xfId="254" applyNumberFormat="1" applyFont="1" applyBorder="1" applyAlignment="1">
      <alignment horizontal="center" vertical="center" wrapText="1" readingOrder="1"/>
    </xf>
    <xf numFmtId="20" fontId="150" fillId="2" borderId="8" xfId="254" applyNumberFormat="1" applyFont="1" applyFill="1" applyBorder="1" applyAlignment="1">
      <alignment horizontal="center" vertical="center" wrapText="1" readingOrder="1"/>
    </xf>
    <xf numFmtId="20" fontId="150" fillId="0" borderId="8" xfId="254" applyNumberFormat="1" applyFont="1" applyBorder="1" applyAlignment="1">
      <alignment horizontal="center" vertical="center" wrapText="1" readingOrder="1"/>
    </xf>
    <xf numFmtId="22" fontId="152" fillId="2" borderId="8" xfId="255" applyNumberFormat="1" applyFont="1" applyFill="1" applyBorder="1" applyAlignment="1">
      <alignment horizontal="center" vertical="center"/>
    </xf>
    <xf numFmtId="200" fontId="152" fillId="2" borderId="8" xfId="255" applyFont="1" applyFill="1" applyBorder="1" applyAlignment="1">
      <alignment horizontal="center" vertical="center" wrapText="1"/>
    </xf>
    <xf numFmtId="200" fontId="152" fillId="2" borderId="8" xfId="255" applyFont="1" applyFill="1" applyBorder="1" applyAlignment="1">
      <alignment horizontal="left" vertical="top" wrapText="1"/>
    </xf>
    <xf numFmtId="18" fontId="152" fillId="2" borderId="8" xfId="255" applyNumberFormat="1" applyFont="1" applyFill="1" applyBorder="1" applyAlignment="1">
      <alignment horizontal="center" vertical="center"/>
    </xf>
    <xf numFmtId="200" fontId="152" fillId="2" borderId="5" xfId="255" applyFont="1" applyFill="1" applyBorder="1" applyAlignment="1">
      <alignment horizontal="left" vertical="top" wrapText="1"/>
    </xf>
    <xf numFmtId="0" fontId="132" fillId="0" borderId="8" xfId="254" applyNumberFormat="1" applyFont="1" applyFill="1" applyBorder="1" applyAlignment="1">
      <alignment horizontal="center" vertical="center" wrapText="1" readingOrder="1"/>
    </xf>
    <xf numFmtId="14" fontId="132" fillId="40" borderId="8" xfId="254" applyNumberFormat="1" applyFont="1" applyFill="1" applyBorder="1" applyAlignment="1">
      <alignment horizontal="center" vertical="center" wrapText="1" readingOrder="1"/>
    </xf>
    <xf numFmtId="22" fontId="136" fillId="2" borderId="8" xfId="255" applyNumberFormat="1" applyFont="1" applyFill="1" applyBorder="1" applyAlignment="1">
      <alignment horizontal="center" vertical="center"/>
    </xf>
    <xf numFmtId="200" fontId="136" fillId="2" borderId="8" xfId="255" applyFont="1" applyFill="1" applyBorder="1" applyAlignment="1">
      <alignment horizontal="center" vertical="center" wrapText="1"/>
    </xf>
    <xf numFmtId="200" fontId="136" fillId="2" borderId="5" xfId="255" applyFont="1" applyFill="1" applyBorder="1" applyAlignment="1">
      <alignment horizontal="left" vertical="top" wrapText="1"/>
    </xf>
    <xf numFmtId="217" fontId="135" fillId="15" borderId="8" xfId="254" applyNumberFormat="1" applyFont="1" applyFill="1" applyBorder="1" applyAlignment="1">
      <alignment horizontal="right"/>
    </xf>
    <xf numFmtId="217" fontId="135" fillId="0" borderId="8" xfId="254" applyNumberFormat="1" applyFont="1" applyFill="1" applyBorder="1" applyAlignment="1">
      <alignment horizontal="right"/>
    </xf>
    <xf numFmtId="14" fontId="132" fillId="2" borderId="8" xfId="254" applyNumberFormat="1" applyFont="1" applyFill="1" applyBorder="1" applyAlignment="1">
      <alignment horizontal="center" vertical="center" wrapText="1" readingOrder="1"/>
    </xf>
    <xf numFmtId="200" fontId="132" fillId="2" borderId="8" xfId="254" applyFont="1" applyFill="1" applyBorder="1" applyAlignment="1">
      <alignment horizontal="center" vertical="center" wrapText="1" readingOrder="1"/>
    </xf>
    <xf numFmtId="22" fontId="137" fillId="2" borderId="8" xfId="255" applyNumberFormat="1" applyFont="1" applyFill="1" applyBorder="1" applyAlignment="1">
      <alignment horizontal="center" vertical="center"/>
    </xf>
    <xf numFmtId="200" fontId="137" fillId="2" borderId="5" xfId="255" applyFont="1" applyFill="1" applyBorder="1" applyAlignment="1">
      <alignment horizontal="left" vertical="top" wrapText="1"/>
    </xf>
    <xf numFmtId="217" fontId="138" fillId="15" borderId="8" xfId="254" applyNumberFormat="1" applyFont="1" applyFill="1" applyBorder="1" applyAlignment="1">
      <alignment horizontal="right"/>
    </xf>
    <xf numFmtId="217" fontId="139" fillId="15" borderId="8" xfId="254" applyNumberFormat="1" applyFont="1" applyFill="1" applyBorder="1" applyAlignment="1">
      <alignment horizontal="right"/>
    </xf>
    <xf numFmtId="217" fontId="139" fillId="0" borderId="8" xfId="254" applyNumberFormat="1" applyFont="1" applyFill="1" applyBorder="1" applyAlignment="1">
      <alignment horizontal="right"/>
    </xf>
    <xf numFmtId="217" fontId="140" fillId="0" borderId="8" xfId="254" applyNumberFormat="1" applyFont="1" applyBorder="1" applyAlignment="1">
      <alignment horizontal="right"/>
    </xf>
    <xf numFmtId="217" fontId="140" fillId="0" borderId="8" xfId="254" applyNumberFormat="1" applyFont="1" applyFill="1" applyBorder="1" applyAlignment="1">
      <alignment horizontal="right"/>
    </xf>
    <xf numFmtId="217" fontId="140" fillId="15" borderId="8" xfId="254" applyNumberFormat="1" applyFont="1" applyFill="1" applyBorder="1" applyAlignment="1">
      <alignment horizontal="right"/>
    </xf>
    <xf numFmtId="22" fontId="153" fillId="2" borderId="8" xfId="255" applyNumberFormat="1" applyFont="1" applyFill="1" applyBorder="1" applyAlignment="1">
      <alignment horizontal="center" vertical="center"/>
    </xf>
    <xf numFmtId="217" fontId="140" fillId="41" borderId="8" xfId="254" applyNumberFormat="1" applyFont="1" applyFill="1" applyBorder="1" applyAlignment="1">
      <alignment horizontal="right"/>
    </xf>
    <xf numFmtId="22" fontId="136" fillId="40" borderId="8" xfId="255" applyNumberFormat="1" applyFont="1" applyFill="1" applyBorder="1" applyAlignment="1">
      <alignment horizontal="center" vertical="center"/>
    </xf>
    <xf numFmtId="22" fontId="153" fillId="40" borderId="8" xfId="255" applyNumberFormat="1" applyFont="1" applyFill="1" applyBorder="1" applyAlignment="1">
      <alignment horizontal="center" vertical="center"/>
    </xf>
    <xf numFmtId="200" fontId="132" fillId="0" borderId="8" xfId="254" applyFont="1" applyBorder="1" applyAlignment="1">
      <alignment horizontal="center" vertical="center" wrapText="1"/>
    </xf>
    <xf numFmtId="219" fontId="136" fillId="2" borderId="8" xfId="255" applyNumberFormat="1" applyFont="1" applyFill="1" applyBorder="1" applyAlignment="1">
      <alignment horizontal="center" vertical="center"/>
    </xf>
    <xf numFmtId="200" fontId="131" fillId="0" borderId="5" xfId="254" applyFont="1" applyBorder="1" applyAlignment="1">
      <alignment horizontal="center" vertical="center" wrapText="1" readingOrder="1"/>
    </xf>
    <xf numFmtId="217" fontId="138" fillId="41" borderId="8" xfId="254" applyNumberFormat="1" applyFont="1" applyFill="1" applyBorder="1" applyAlignment="1">
      <alignment horizontal="right"/>
    </xf>
    <xf numFmtId="217" fontId="135" fillId="0" borderId="8" xfId="254" applyNumberFormat="1" applyFont="1" applyBorder="1" applyAlignment="1">
      <alignment horizontal="right"/>
    </xf>
    <xf numFmtId="200" fontId="134" fillId="0" borderId="0" xfId="254" applyNumberFormat="1" applyFont="1"/>
    <xf numFmtId="22" fontId="136" fillId="0" borderId="8" xfId="255" applyNumberFormat="1" applyFont="1" applyFill="1" applyBorder="1" applyAlignment="1">
      <alignment horizontal="center" vertical="center"/>
    </xf>
    <xf numFmtId="192" fontId="93" fillId="0" borderId="0" xfId="1" applyNumberFormat="1" applyFont="1" applyBorder="1" applyAlignment="1">
      <alignment horizontal="center"/>
    </xf>
    <xf numFmtId="194" fontId="56" fillId="0" borderId="0" xfId="1" applyNumberFormat="1" applyFont="1" applyFill="1" applyBorder="1" applyAlignment="1">
      <alignment horizontal="center"/>
    </xf>
    <xf numFmtId="192" fontId="0" fillId="15" borderId="0" xfId="1" applyNumberFormat="1" applyFont="1" applyFill="1"/>
    <xf numFmtId="192" fontId="78" fillId="0" borderId="0" xfId="1" applyNumberFormat="1" applyFont="1" applyAlignment="1">
      <alignment horizontal="right"/>
    </xf>
    <xf numFmtId="192" fontId="78" fillId="15" borderId="0" xfId="1" applyNumberFormat="1" applyFont="1" applyFill="1"/>
    <xf numFmtId="192" fontId="78" fillId="0" borderId="93" xfId="1" applyNumberFormat="1" applyFont="1" applyFill="1" applyBorder="1"/>
    <xf numFmtId="192" fontId="48" fillId="0" borderId="93" xfId="1" applyNumberFormat="1" applyFont="1" applyFill="1" applyBorder="1"/>
    <xf numFmtId="192" fontId="48" fillId="0" borderId="57" xfId="1" applyNumberFormat="1" applyFont="1" applyBorder="1"/>
    <xf numFmtId="192" fontId="48" fillId="0" borderId="64" xfId="1" applyNumberFormat="1" applyFont="1" applyBorder="1"/>
    <xf numFmtId="192" fontId="79" fillId="26" borderId="89" xfId="1" applyNumberFormat="1" applyFont="1" applyFill="1" applyBorder="1" applyAlignment="1">
      <alignment horizontal="center" vertical="center" wrapText="1"/>
    </xf>
    <xf numFmtId="192" fontId="79" fillId="26" borderId="91" xfId="1" applyNumberFormat="1" applyFont="1" applyFill="1" applyBorder="1" applyAlignment="1">
      <alignment horizontal="center" vertical="center" wrapText="1"/>
    </xf>
    <xf numFmtId="189" fontId="121" fillId="2" borderId="0" xfId="0" applyNumberFormat="1" applyFont="1" applyFill="1" applyBorder="1" applyAlignment="1">
      <alignment vertical="center"/>
    </xf>
    <xf numFmtId="0" fontId="55" fillId="39" borderId="84" xfId="0" applyFont="1" applyFill="1" applyBorder="1" applyAlignment="1">
      <alignment horizontal="center" vertical="center" wrapText="1"/>
    </xf>
    <xf numFmtId="192" fontId="52" fillId="39" borderId="10" xfId="1" applyNumberFormat="1" applyFont="1" applyFill="1" applyBorder="1" applyAlignment="1">
      <alignment vertical="center"/>
    </xf>
    <xf numFmtId="193" fontId="52" fillId="39" borderId="82" xfId="0" applyNumberFormat="1" applyFont="1" applyFill="1" applyBorder="1" applyAlignment="1">
      <alignment horizontal="right" vertical="center"/>
    </xf>
    <xf numFmtId="193" fontId="130" fillId="39" borderId="82" xfId="0" applyNumberFormat="1" applyFont="1" applyFill="1" applyBorder="1" applyAlignment="1">
      <alignment horizontal="right" vertical="center"/>
    </xf>
    <xf numFmtId="191" fontId="110" fillId="25" borderId="84" xfId="0" applyNumberFormat="1" applyFont="1" applyFill="1" applyBorder="1"/>
    <xf numFmtId="194" fontId="61" fillId="0" borderId="0" xfId="0" applyNumberFormat="1" applyFont="1" applyFill="1" applyBorder="1"/>
    <xf numFmtId="192" fontId="220" fillId="0" borderId="0" xfId="1" applyNumberFormat="1" applyFont="1"/>
    <xf numFmtId="191" fontId="221" fillId="25" borderId="8" xfId="0" applyNumberFormat="1" applyFont="1" applyFill="1" applyBorder="1"/>
    <xf numFmtId="193" fontId="52" fillId="0" borderId="82" xfId="0" applyNumberFormat="1" applyFont="1" applyFill="1" applyBorder="1" applyAlignment="1">
      <alignment horizontal="right" vertical="center"/>
    </xf>
    <xf numFmtId="193" fontId="52" fillId="15" borderId="82" xfId="0" applyNumberFormat="1" applyFont="1" applyFill="1" applyBorder="1" applyAlignment="1">
      <alignment horizontal="right" vertical="center"/>
    </xf>
    <xf numFmtId="193" fontId="52" fillId="18" borderId="82" xfId="0" applyNumberFormat="1" applyFont="1" applyFill="1" applyBorder="1" applyAlignment="1">
      <alignment horizontal="right" vertical="center"/>
    </xf>
    <xf numFmtId="193" fontId="52" fillId="2" borderId="82" xfId="0" applyNumberFormat="1" applyFont="1" applyFill="1" applyBorder="1" applyAlignment="1">
      <alignment horizontal="right" vertical="center"/>
    </xf>
    <xf numFmtId="193" fontId="52" fillId="0" borderId="84" xfId="0" applyNumberFormat="1" applyFont="1" applyFill="1" applyBorder="1" applyAlignment="1">
      <alignment horizontal="right" vertical="center"/>
    </xf>
    <xf numFmtId="191" fontId="110" fillId="28" borderId="84" xfId="0" applyNumberFormat="1" applyFont="1" applyFill="1" applyBorder="1"/>
    <xf numFmtId="0" fontId="110" fillId="25" borderId="84" xfId="0" applyFont="1" applyFill="1" applyBorder="1"/>
    <xf numFmtId="191" fontId="53" fillId="5" borderId="84" xfId="0" applyNumberFormat="1" applyFont="1" applyFill="1" applyBorder="1" applyAlignment="1">
      <alignment horizontal="center" vertical="center" wrapText="1"/>
    </xf>
    <xf numFmtId="0" fontId="127" fillId="29" borderId="65" xfId="0" applyFont="1" applyFill="1" applyBorder="1" applyAlignment="1">
      <alignment horizontal="center" vertical="center"/>
    </xf>
    <xf numFmtId="0" fontId="127" fillId="29" borderId="65" xfId="0" applyFont="1" applyFill="1" applyBorder="1" applyAlignment="1">
      <alignment horizontal="center" wrapText="1"/>
    </xf>
    <xf numFmtId="0" fontId="127" fillId="29" borderId="65" xfId="0" applyFont="1" applyFill="1" applyBorder="1" applyAlignment="1">
      <alignment horizontal="center" vertical="center" wrapText="1"/>
    </xf>
    <xf numFmtId="0" fontId="127" fillId="28" borderId="42" xfId="0" applyFont="1" applyFill="1" applyBorder="1" applyAlignment="1">
      <alignment horizontal="center" vertical="center" wrapText="1"/>
    </xf>
    <xf numFmtId="0" fontId="127" fillId="29" borderId="41" xfId="0" applyFont="1" applyFill="1" applyBorder="1" applyAlignment="1">
      <alignment horizontal="center" wrapText="1"/>
    </xf>
    <xf numFmtId="0" fontId="128" fillId="29" borderId="65" xfId="0" applyFont="1" applyFill="1" applyBorder="1" applyAlignment="1">
      <alignment horizontal="center" wrapText="1"/>
    </xf>
    <xf numFmtId="0" fontId="129" fillId="29" borderId="65" xfId="0" applyFont="1" applyFill="1" applyBorder="1" applyAlignment="1">
      <alignment horizontal="center" wrapText="1"/>
    </xf>
    <xf numFmtId="0" fontId="127" fillId="28" borderId="68" xfId="0" applyFont="1" applyFill="1" applyBorder="1" applyAlignment="1">
      <alignment horizontal="center" vertical="center" wrapText="1"/>
    </xf>
    <xf numFmtId="0" fontId="127" fillId="28" borderId="0" xfId="0" applyFont="1" applyFill="1" applyBorder="1"/>
    <xf numFmtId="0" fontId="128" fillId="29" borderId="41" xfId="0" applyFont="1" applyFill="1" applyBorder="1" applyAlignment="1">
      <alignment horizontal="center" wrapText="1"/>
    </xf>
    <xf numFmtId="191" fontId="53" fillId="5" borderId="84" xfId="0" applyNumberFormat="1" applyFont="1" applyFill="1" applyBorder="1" applyAlignment="1">
      <alignment horizontal="center" vertical="center"/>
    </xf>
    <xf numFmtId="0" fontId="78" fillId="2" borderId="4" xfId="0" applyFont="1" applyFill="1" applyBorder="1" applyAlignment="1">
      <alignment vertical="center"/>
    </xf>
    <xf numFmtId="192" fontId="220" fillId="0" borderId="0" xfId="1" applyNumberFormat="1" applyFont="1" applyFill="1"/>
    <xf numFmtId="192" fontId="148" fillId="0" borderId="93" xfId="1" applyNumberFormat="1" applyFont="1" applyFill="1" applyBorder="1"/>
    <xf numFmtId="191" fontId="148" fillId="0" borderId="0" xfId="0" applyNumberFormat="1" applyFont="1"/>
    <xf numFmtId="194" fontId="0" fillId="0" borderId="0" xfId="1" applyNumberFormat="1" applyFont="1"/>
    <xf numFmtId="192" fontId="115" fillId="0" borderId="0" xfId="1" applyNumberFormat="1" applyFont="1"/>
    <xf numFmtId="209" fontId="115" fillId="0" borderId="0" xfId="1" applyNumberFormat="1" applyFont="1" applyAlignment="1">
      <alignment horizontal="center"/>
    </xf>
    <xf numFmtId="192" fontId="115" fillId="0" borderId="0" xfId="1" applyNumberFormat="1" applyFont="1" applyAlignment="1">
      <alignment horizontal="center"/>
    </xf>
    <xf numFmtId="209" fontId="115" fillId="0" borderId="0" xfId="1" applyNumberFormat="1" applyFont="1" applyAlignment="1">
      <alignment horizontal="left"/>
    </xf>
    <xf numFmtId="192" fontId="115" fillId="0" borderId="13" xfId="1" applyNumberFormat="1" applyFont="1" applyBorder="1"/>
    <xf numFmtId="192" fontId="48" fillId="0" borderId="99" xfId="1" applyNumberFormat="1" applyFont="1" applyBorder="1"/>
    <xf numFmtId="0" fontId="55" fillId="2" borderId="84" xfId="0" applyFont="1" applyFill="1" applyBorder="1" applyAlignment="1">
      <alignment horizontal="left" vertical="center" wrapText="1"/>
    </xf>
    <xf numFmtId="0" fontId="55" fillId="2" borderId="84" xfId="0" applyFont="1" applyFill="1" applyBorder="1" applyAlignment="1">
      <alignment horizontal="center" vertical="center" wrapText="1"/>
    </xf>
    <xf numFmtId="193" fontId="55" fillId="2" borderId="84" xfId="0" applyNumberFormat="1" applyFont="1" applyFill="1" applyBorder="1" applyAlignment="1">
      <alignment horizontal="right" vertical="center"/>
    </xf>
    <xf numFmtId="195" fontId="55" fillId="2" borderId="84" xfId="0" applyNumberFormat="1" applyFont="1" applyFill="1" applyBorder="1" applyAlignment="1">
      <alignment horizontal="right" vertical="center"/>
    </xf>
    <xf numFmtId="197" fontId="58" fillId="0" borderId="0" xfId="1" applyNumberFormat="1" applyFont="1"/>
    <xf numFmtId="2" fontId="74" fillId="0" borderId="0" xfId="8" applyNumberFormat="1" applyFont="1" applyFill="1" applyBorder="1" applyAlignment="1">
      <alignment horizontal="center" vertical="center"/>
    </xf>
    <xf numFmtId="204" fontId="78" fillId="0" borderId="0" xfId="0" applyNumberFormat="1" applyFont="1" applyFill="1" applyBorder="1"/>
    <xf numFmtId="191" fontId="78" fillId="0" borderId="0" xfId="0" applyNumberFormat="1" applyFont="1" applyFill="1" applyBorder="1"/>
    <xf numFmtId="3" fontId="74" fillId="0" borderId="0" xfId="0" applyNumberFormat="1" applyFont="1" applyFill="1" applyBorder="1"/>
    <xf numFmtId="191" fontId="78" fillId="0" borderId="0" xfId="2" applyNumberFormat="1" applyFont="1" applyFill="1" applyBorder="1" applyAlignment="1">
      <alignment horizontal="center"/>
    </xf>
    <xf numFmtId="191" fontId="43" fillId="0" borderId="0" xfId="8" applyNumberFormat="1" applyFill="1" applyBorder="1" applyAlignment="1">
      <alignment horizontal="center" vertical="center"/>
    </xf>
    <xf numFmtId="191" fontId="113" fillId="25" borderId="84" xfId="0" applyNumberFormat="1" applyFont="1" applyFill="1" applyBorder="1"/>
    <xf numFmtId="0" fontId="113" fillId="25" borderId="84" xfId="0" applyFont="1" applyFill="1" applyBorder="1"/>
    <xf numFmtId="0" fontId="132" fillId="0" borderId="84" xfId="254" applyNumberFormat="1" applyFont="1" applyFill="1" applyBorder="1" applyAlignment="1">
      <alignment horizontal="center" vertical="center" wrapText="1" readingOrder="1"/>
    </xf>
    <xf numFmtId="14" fontId="132" fillId="2" borderId="84" xfId="254" applyNumberFormat="1" applyFont="1" applyFill="1" applyBorder="1" applyAlignment="1">
      <alignment horizontal="center" vertical="center" wrapText="1" readingOrder="1"/>
    </xf>
    <xf numFmtId="200" fontId="132" fillId="2" borderId="84" xfId="254" applyFont="1" applyFill="1" applyBorder="1" applyAlignment="1">
      <alignment horizontal="center" vertical="center" wrapText="1" readingOrder="1"/>
    </xf>
    <xf numFmtId="200" fontId="136" fillId="2" borderId="86" xfId="255" applyFont="1" applyFill="1" applyBorder="1" applyAlignment="1">
      <alignment horizontal="left" vertical="top" wrapText="1"/>
    </xf>
    <xf numFmtId="200" fontId="134" fillId="0" borderId="84" xfId="254" applyFont="1" applyBorder="1"/>
    <xf numFmtId="236" fontId="0" fillId="2" borderId="10" xfId="0" applyNumberFormat="1" applyFill="1" applyBorder="1" applyAlignment="1">
      <alignment horizontal="center" vertical="center"/>
    </xf>
    <xf numFmtId="191" fontId="134" fillId="0" borderId="0" xfId="254" applyNumberFormat="1" applyFont="1"/>
    <xf numFmtId="191" fontId="74" fillId="0" borderId="0" xfId="0" applyNumberFormat="1" applyFont="1" applyFill="1" applyBorder="1" applyAlignment="1"/>
    <xf numFmtId="191" fontId="74" fillId="0" borderId="0" xfId="8" applyNumberFormat="1" applyFont="1" applyFill="1" applyBorder="1" applyAlignment="1">
      <alignment horizontal="center" vertical="center"/>
    </xf>
    <xf numFmtId="2" fontId="78" fillId="0" borderId="0" xfId="0" applyNumberFormat="1" applyFont="1" applyFill="1" applyBorder="1" applyAlignment="1">
      <alignment horizontal="center" vertical="center"/>
    </xf>
    <xf numFmtId="1" fontId="78" fillId="34" borderId="0" xfId="14" applyNumberFormat="1" applyFont="1" applyFill="1" applyBorder="1" applyAlignment="1">
      <alignment horizontal="center"/>
    </xf>
    <xf numFmtId="194" fontId="31" fillId="0" borderId="0" xfId="8" applyNumberFormat="1" applyFont="1" applyFill="1" applyBorder="1" applyAlignment="1">
      <alignment horizontal="right"/>
    </xf>
    <xf numFmtId="191" fontId="43" fillId="2" borderId="0" xfId="8" applyNumberFormat="1" applyFill="1"/>
    <xf numFmtId="192" fontId="129" fillId="37" borderId="50" xfId="1" applyNumberFormat="1" applyFont="1" applyFill="1" applyBorder="1"/>
    <xf numFmtId="192" fontId="127" fillId="37" borderId="27" xfId="1" applyNumberFormat="1" applyFont="1" applyFill="1" applyBorder="1"/>
    <xf numFmtId="191" fontId="127" fillId="37" borderId="50" xfId="1" applyNumberFormat="1" applyFont="1" applyFill="1" applyBorder="1"/>
    <xf numFmtId="2" fontId="46" fillId="9" borderId="8" xfId="8" applyNumberFormat="1" applyFont="1" applyFill="1" applyBorder="1" applyAlignment="1">
      <alignment horizontal="center" vertical="center" wrapText="1"/>
    </xf>
    <xf numFmtId="1" fontId="43" fillId="2" borderId="0" xfId="8" applyNumberFormat="1" applyFill="1" applyBorder="1"/>
    <xf numFmtId="0" fontId="46" fillId="9" borderId="84" xfId="8" applyFont="1" applyFill="1" applyBorder="1" applyAlignment="1">
      <alignment horizontal="center" vertical="center" wrapText="1"/>
    </xf>
    <xf numFmtId="194" fontId="43" fillId="9" borderId="84" xfId="8" applyNumberFormat="1" applyFont="1" applyFill="1" applyBorder="1" applyAlignment="1">
      <alignment horizontal="center"/>
    </xf>
    <xf numFmtId="3" fontId="43" fillId="9" borderId="84" xfId="8" applyNumberFormat="1" applyFont="1" applyFill="1" applyBorder="1" applyAlignment="1">
      <alignment horizontal="center"/>
    </xf>
    <xf numFmtId="197" fontId="33" fillId="9" borderId="84" xfId="8" applyNumberFormat="1" applyFont="1" applyFill="1" applyBorder="1" applyAlignment="1">
      <alignment horizontal="center" vertical="center" wrapText="1"/>
    </xf>
    <xf numFmtId="237" fontId="48" fillId="0" borderId="0" xfId="808"/>
    <xf numFmtId="237" fontId="106" fillId="35" borderId="100" xfId="809" applyFont="1" applyFill="1" applyBorder="1" applyAlignment="1">
      <alignment horizontal="center" vertical="center"/>
    </xf>
    <xf numFmtId="237" fontId="107" fillId="35" borderId="66" xfId="809" applyFont="1" applyFill="1" applyBorder="1" applyAlignment="1">
      <alignment horizontal="center" vertical="center" wrapText="1"/>
    </xf>
    <xf numFmtId="192" fontId="107" fillId="35" borderId="66" xfId="1" applyNumberFormat="1" applyFont="1" applyFill="1" applyBorder="1" applyAlignment="1">
      <alignment horizontal="center" vertical="center" wrapText="1"/>
    </xf>
    <xf numFmtId="238" fontId="227" fillId="20" borderId="95" xfId="808" applyNumberFormat="1" applyFont="1" applyFill="1" applyBorder="1" applyAlignment="1">
      <alignment horizontal="center" vertical="center"/>
    </xf>
    <xf numFmtId="194" fontId="224" fillId="15" borderId="10" xfId="808" applyNumberFormat="1" applyFont="1" applyFill="1" applyBorder="1"/>
    <xf numFmtId="194" fontId="228" fillId="0" borderId="10" xfId="808" applyNumberFormat="1" applyFont="1" applyBorder="1"/>
    <xf numFmtId="195" fontId="58" fillId="0" borderId="10" xfId="810" applyNumberFormat="1" applyFont="1" applyFill="1" applyBorder="1" applyAlignment="1">
      <alignment vertical="center"/>
    </xf>
    <xf numFmtId="194" fontId="58" fillId="0" borderId="10" xfId="810" applyNumberFormat="1" applyFont="1" applyFill="1" applyBorder="1" applyAlignment="1">
      <alignment vertical="center"/>
    </xf>
    <xf numFmtId="194" fontId="228" fillId="0" borderId="0" xfId="808" applyNumberFormat="1" applyFont="1"/>
    <xf numFmtId="195" fontId="58" fillId="0" borderId="10" xfId="1" applyNumberFormat="1" applyFont="1" applyFill="1" applyBorder="1" applyAlignment="1">
      <alignment horizontal="center" vertical="center"/>
    </xf>
    <xf numFmtId="194" fontId="58" fillId="0" borderId="0" xfId="809" applyNumberFormat="1" applyFont="1"/>
    <xf numFmtId="194" fontId="109" fillId="15" borderId="10" xfId="810" applyNumberFormat="1" applyFont="1" applyFill="1" applyBorder="1" applyAlignment="1">
      <alignment vertical="center"/>
    </xf>
    <xf numFmtId="195" fontId="58" fillId="0" borderId="10" xfId="811" applyNumberFormat="1" applyFont="1" applyFill="1" applyBorder="1" applyAlignment="1">
      <alignment vertical="center"/>
    </xf>
    <xf numFmtId="191" fontId="58" fillId="0" borderId="10" xfId="811" applyNumberFormat="1" applyFont="1" applyFill="1" applyBorder="1" applyAlignment="1">
      <alignment vertical="center"/>
    </xf>
    <xf numFmtId="194" fontId="109" fillId="15" borderId="10" xfId="808" applyNumberFormat="1" applyFont="1" applyFill="1" applyBorder="1"/>
    <xf numFmtId="237" fontId="228" fillId="0" borderId="0" xfId="808" applyFont="1"/>
    <xf numFmtId="194" fontId="228" fillId="0" borderId="84" xfId="808" applyNumberFormat="1" applyFont="1" applyBorder="1"/>
    <xf numFmtId="195" fontId="109" fillId="0" borderId="10" xfId="810" applyNumberFormat="1" applyFont="1" applyFill="1" applyBorder="1" applyAlignment="1">
      <alignment vertical="center"/>
    </xf>
    <xf numFmtId="199" fontId="229" fillId="0" borderId="0" xfId="811" applyNumberFormat="1" applyFont="1" applyFill="1" applyBorder="1" applyAlignment="1">
      <alignment vertical="center"/>
    </xf>
    <xf numFmtId="207" fontId="230" fillId="0" borderId="0" xfId="808" applyNumberFormat="1" applyFont="1" applyAlignment="1">
      <alignment horizontal="center"/>
    </xf>
    <xf numFmtId="195" fontId="59" fillId="36" borderId="99" xfId="809" applyNumberFormat="1" applyFont="1" applyFill="1" applyBorder="1"/>
    <xf numFmtId="192" fontId="59" fillId="36" borderId="99" xfId="809" applyNumberFormat="1" applyFont="1" applyFill="1" applyBorder="1"/>
    <xf numFmtId="237" fontId="58" fillId="0" borderId="0" xfId="809" applyFont="1"/>
    <xf numFmtId="207" fontId="54" fillId="0" borderId="0" xfId="808" applyNumberFormat="1" applyFont="1" applyAlignment="1">
      <alignment horizontal="center"/>
    </xf>
    <xf numFmtId="237" fontId="58" fillId="0" borderId="0" xfId="809" applyFill="1"/>
    <xf numFmtId="43" fontId="58" fillId="0" borderId="0" xfId="809" applyNumberFormat="1" applyFill="1"/>
    <xf numFmtId="237" fontId="58" fillId="0" borderId="0" xfId="809"/>
    <xf numFmtId="192" fontId="58" fillId="0" borderId="0" xfId="1" applyNumberFormat="1" applyFont="1" applyFill="1"/>
    <xf numFmtId="2" fontId="48" fillId="0" borderId="0" xfId="808" applyNumberFormat="1"/>
    <xf numFmtId="237" fontId="108" fillId="0" borderId="0" xfId="809" applyFont="1"/>
    <xf numFmtId="43" fontId="58" fillId="0" borderId="0" xfId="810" applyFont="1" applyFill="1" applyBorder="1" applyAlignment="1">
      <alignment vertical="center"/>
    </xf>
    <xf numFmtId="192" fontId="58" fillId="0" borderId="0" xfId="1" applyNumberFormat="1" applyFont="1" applyFill="1" applyBorder="1" applyAlignment="1">
      <alignment vertical="center"/>
    </xf>
    <xf numFmtId="237" fontId="58" fillId="0" borderId="0" xfId="809" applyBorder="1"/>
    <xf numFmtId="43" fontId="58" fillId="0" borderId="0" xfId="809" applyNumberFormat="1"/>
    <xf numFmtId="43" fontId="58" fillId="0" borderId="0" xfId="810" applyFont="1" applyAlignment="1">
      <alignment horizontal="center"/>
    </xf>
    <xf numFmtId="192" fontId="58" fillId="0" borderId="0" xfId="1" applyNumberFormat="1" applyFont="1"/>
    <xf numFmtId="202" fontId="58" fillId="0" borderId="0" xfId="4" applyNumberFormat="1"/>
    <xf numFmtId="218" fontId="58" fillId="0" borderId="0" xfId="1" applyNumberFormat="1" applyFont="1"/>
    <xf numFmtId="10" fontId="58" fillId="0" borderId="0" xfId="2" applyNumberFormat="1" applyFont="1"/>
    <xf numFmtId="2" fontId="58" fillId="0" borderId="0" xfId="809" applyNumberFormat="1"/>
    <xf numFmtId="43" fontId="58" fillId="0" borderId="0" xfId="810" applyFont="1"/>
    <xf numFmtId="211" fontId="58" fillId="0" borderId="0" xfId="809" applyNumberFormat="1"/>
    <xf numFmtId="9" fontId="58" fillId="0" borderId="0" xfId="2" applyFont="1"/>
    <xf numFmtId="191" fontId="55" fillId="0" borderId="0" xfId="0" applyNumberFormat="1" applyFont="1" applyFill="1" applyBorder="1" applyAlignment="1">
      <alignment horizontal="center" vertical="center" wrapText="1"/>
    </xf>
    <xf numFmtId="194" fontId="93" fillId="0" borderId="19" xfId="1" applyNumberFormat="1" applyFont="1" applyFill="1" applyBorder="1" applyAlignment="1">
      <alignment horizontal="right" vertical="center" wrapText="1"/>
    </xf>
    <xf numFmtId="194" fontId="93" fillId="0" borderId="36" xfId="1" applyNumberFormat="1" applyFont="1" applyFill="1" applyBorder="1" applyAlignment="1">
      <alignment horizontal="right" vertical="center" wrapText="1"/>
    </xf>
    <xf numFmtId="191" fontId="222" fillId="25" borderId="60" xfId="0" applyNumberFormat="1" applyFont="1" applyFill="1" applyBorder="1"/>
    <xf numFmtId="191" fontId="222" fillId="25" borderId="10" xfId="0" applyNumberFormat="1" applyFont="1" applyFill="1" applyBorder="1"/>
    <xf numFmtId="191" fontId="222" fillId="25" borderId="84" xfId="0" applyNumberFormat="1" applyFont="1" applyFill="1" applyBorder="1"/>
    <xf numFmtId="0" fontId="222" fillId="25" borderId="84" xfId="0" applyFont="1" applyFill="1" applyBorder="1"/>
    <xf numFmtId="0" fontId="222" fillId="25" borderId="10" xfId="0" applyFont="1" applyFill="1" applyBorder="1"/>
    <xf numFmtId="0" fontId="222" fillId="28" borderId="0" xfId="0" applyFont="1" applyFill="1" applyBorder="1"/>
    <xf numFmtId="203" fontId="225" fillId="27" borderId="61" xfId="0" applyNumberFormat="1" applyFont="1" applyFill="1" applyBorder="1" applyAlignment="1">
      <alignment horizontal="center" vertical="center"/>
    </xf>
    <xf numFmtId="197" fontId="61" fillId="0" borderId="8" xfId="1" applyNumberFormat="1" applyFont="1" applyFill="1" applyBorder="1" applyAlignment="1">
      <alignment horizontal="center" vertical="center" wrapText="1"/>
    </xf>
    <xf numFmtId="192" fontId="93" fillId="0" borderId="0" xfId="1" applyNumberFormat="1" applyFont="1" applyBorder="1" applyAlignment="1">
      <alignment horizontal="center"/>
    </xf>
    <xf numFmtId="0" fontId="112" fillId="28" borderId="42" xfId="0" applyFont="1" applyFill="1" applyBorder="1" applyAlignment="1">
      <alignment horizontal="center"/>
    </xf>
    <xf numFmtId="0" fontId="0" fillId="0" borderId="0" xfId="0" quotePrefix="1"/>
    <xf numFmtId="192" fontId="48" fillId="15" borderId="10" xfId="1" applyNumberFormat="1" applyFont="1" applyFill="1" applyBorder="1" applyAlignment="1">
      <alignment horizontal="center" vertical="center" wrapText="1"/>
    </xf>
    <xf numFmtId="192" fontId="48" fillId="15" borderId="54" xfId="1" applyNumberFormat="1" applyFont="1" applyFill="1" applyBorder="1" applyAlignment="1">
      <alignment horizontal="center" vertical="center" wrapText="1"/>
    </xf>
    <xf numFmtId="192" fontId="48" fillId="15" borderId="14" xfId="1" applyNumberFormat="1" applyFont="1" applyFill="1" applyBorder="1" applyAlignment="1">
      <alignment horizontal="center" vertical="center" wrapText="1"/>
    </xf>
    <xf numFmtId="192" fontId="78" fillId="15" borderId="95" xfId="1" applyNumberFormat="1" applyFont="1" applyFill="1" applyBorder="1" applyAlignment="1">
      <alignment horizontal="center" vertical="center" wrapText="1"/>
    </xf>
    <xf numFmtId="192" fontId="78" fillId="0" borderId="0" xfId="1" applyNumberFormat="1" applyFont="1" applyFill="1" applyBorder="1" applyAlignment="1">
      <alignment horizontal="center" vertical="center"/>
    </xf>
    <xf numFmtId="191" fontId="221" fillId="25" borderId="84" xfId="0" applyNumberFormat="1" applyFont="1" applyFill="1" applyBorder="1"/>
    <xf numFmtId="0" fontId="110" fillId="69" borderId="8" xfId="0" applyFont="1" applyFill="1" applyBorder="1"/>
    <xf numFmtId="192" fontId="110" fillId="69" borderId="84" xfId="0" applyNumberFormat="1" applyFont="1" applyFill="1" applyBorder="1"/>
    <xf numFmtId="0" fontId="110" fillId="69" borderId="84" xfId="0" applyFont="1" applyFill="1" applyBorder="1"/>
    <xf numFmtId="43" fontId="110" fillId="69" borderId="84" xfId="0" applyNumberFormat="1" applyFont="1" applyFill="1" applyBorder="1"/>
    <xf numFmtId="194" fontId="93" fillId="0" borderId="37" xfId="1" applyNumberFormat="1" applyFont="1" applyFill="1" applyBorder="1" applyAlignment="1">
      <alignment horizontal="right" vertical="center" wrapText="1"/>
    </xf>
    <xf numFmtId="0" fontId="113" fillId="69" borderId="84" xfId="0" applyFont="1" applyFill="1" applyBorder="1"/>
    <xf numFmtId="0" fontId="113" fillId="69" borderId="8" xfId="0" applyFont="1" applyFill="1" applyBorder="1"/>
    <xf numFmtId="0" fontId="117" fillId="69" borderId="8" xfId="0" applyFont="1" applyFill="1" applyBorder="1"/>
    <xf numFmtId="0" fontId="114" fillId="69" borderId="8" xfId="0" applyFont="1" applyFill="1" applyBorder="1"/>
    <xf numFmtId="2" fontId="117" fillId="69" borderId="8" xfId="0" applyNumberFormat="1" applyFont="1" applyFill="1" applyBorder="1"/>
    <xf numFmtId="0" fontId="0" fillId="28" borderId="50" xfId="0" applyFill="1" applyBorder="1" applyAlignment="1"/>
    <xf numFmtId="192" fontId="78" fillId="40" borderId="58" xfId="1" applyNumberFormat="1" applyFont="1" applyFill="1" applyBorder="1" applyAlignment="1">
      <alignment horizontal="center" vertical="center" wrapText="1"/>
    </xf>
    <xf numFmtId="203" fontId="79" fillId="22" borderId="57" xfId="0" applyNumberFormat="1" applyFont="1" applyFill="1" applyBorder="1" applyAlignment="1">
      <alignment horizontal="center" vertical="center"/>
    </xf>
    <xf numFmtId="192" fontId="93" fillId="0" borderId="15" xfId="1" applyNumberFormat="1" applyFont="1" applyFill="1" applyBorder="1" applyAlignment="1">
      <alignment horizontal="center" vertical="center" wrapText="1"/>
    </xf>
    <xf numFmtId="192" fontId="93" fillId="0" borderId="57" xfId="1" applyNumberFormat="1" applyFont="1" applyFill="1" applyBorder="1" applyAlignment="1">
      <alignment horizontal="center" vertical="top" wrapText="1"/>
    </xf>
    <xf numFmtId="203" fontId="81" fillId="22" borderId="96" xfId="1" applyNumberFormat="1" applyFont="1" applyFill="1" applyBorder="1" applyAlignment="1">
      <alignment horizontal="center" vertical="center" wrapText="1"/>
    </xf>
    <xf numFmtId="203" fontId="94" fillId="22" borderId="96" xfId="1" applyNumberFormat="1" applyFont="1" applyFill="1" applyBorder="1" applyAlignment="1">
      <alignment horizontal="center" vertical="center" wrapText="1"/>
    </xf>
    <xf numFmtId="0" fontId="232" fillId="2" borderId="84" xfId="8" applyFont="1" applyFill="1" applyBorder="1" applyAlignment="1"/>
    <xf numFmtId="192" fontId="95" fillId="0" borderId="23" xfId="1" applyNumberFormat="1" applyFont="1" applyFill="1" applyBorder="1" applyAlignment="1">
      <alignment horizontal="center" vertical="center" wrapText="1"/>
    </xf>
    <xf numFmtId="0" fontId="233" fillId="0" borderId="0" xfId="0" applyFont="1" applyBorder="1" applyAlignment="1">
      <alignment horizontal="center"/>
    </xf>
    <xf numFmtId="191" fontId="53" fillId="6" borderId="12" xfId="0" applyNumberFormat="1" applyFont="1" applyFill="1" applyBorder="1" applyAlignment="1">
      <alignment horizontal="center" vertical="center" wrapText="1"/>
    </xf>
    <xf numFmtId="191" fontId="53" fillId="7" borderId="12" xfId="0" applyNumberFormat="1" applyFont="1" applyFill="1" applyBorder="1" applyAlignment="1">
      <alignment horizontal="center" vertical="center" wrapText="1"/>
    </xf>
    <xf numFmtId="191" fontId="53" fillId="7" borderId="84" xfId="0" applyNumberFormat="1" applyFont="1" applyFill="1" applyBorder="1" applyAlignment="1">
      <alignment horizontal="center" vertical="center" wrapText="1"/>
    </xf>
    <xf numFmtId="194" fontId="53" fillId="0" borderId="0" xfId="0" applyNumberFormat="1" applyFont="1" applyFill="1" applyBorder="1" applyAlignment="1">
      <alignment vertical="center"/>
    </xf>
    <xf numFmtId="192" fontId="54" fillId="0" borderId="0" xfId="0" applyNumberFormat="1" applyFont="1" applyFill="1" applyBorder="1" applyAlignment="1">
      <alignment vertical="center"/>
    </xf>
    <xf numFmtId="239" fontId="55" fillId="0" borderId="0" xfId="1" applyNumberFormat="1" applyFont="1" applyFill="1" applyBorder="1" applyAlignment="1">
      <alignment vertical="center"/>
    </xf>
    <xf numFmtId="193" fontId="55" fillId="0" borderId="0" xfId="1" applyNumberFormat="1" applyFont="1" applyFill="1" applyBorder="1" applyAlignment="1">
      <alignment horizontal="center"/>
    </xf>
    <xf numFmtId="0" fontId="45" fillId="2" borderId="0" xfId="8" applyFont="1" applyFill="1" applyAlignment="1">
      <alignment horizontal="center"/>
    </xf>
    <xf numFmtId="192" fontId="90" fillId="0" borderId="93" xfId="1" applyNumberFormat="1" applyFont="1" applyBorder="1"/>
    <xf numFmtId="192" fontId="219" fillId="0" borderId="0" xfId="1" applyNumberFormat="1" applyFont="1" applyAlignment="1">
      <alignment horizontal="center"/>
    </xf>
    <xf numFmtId="192" fontId="220" fillId="0" borderId="0" xfId="1" applyNumberFormat="1" applyFont="1" applyAlignment="1">
      <alignment horizontal="right"/>
    </xf>
    <xf numFmtId="2" fontId="222" fillId="25" borderId="10" xfId="0" applyNumberFormat="1" applyFont="1" applyFill="1" applyBorder="1"/>
    <xf numFmtId="2" fontId="113" fillId="25" borderId="8" xfId="0" applyNumberFormat="1" applyFont="1" applyFill="1" applyBorder="1"/>
    <xf numFmtId="2" fontId="114" fillId="69" borderId="8" xfId="0" applyNumberFormat="1" applyFont="1" applyFill="1" applyBorder="1"/>
    <xf numFmtId="0" fontId="148" fillId="0" borderId="0" xfId="0" applyFont="1" applyFill="1"/>
    <xf numFmtId="191" fontId="111" fillId="15" borderId="0" xfId="0" applyNumberFormat="1" applyFont="1" applyFill="1" applyAlignment="1">
      <alignment horizontal="right"/>
    </xf>
    <xf numFmtId="191" fontId="110" fillId="0" borderId="0" xfId="0" applyNumberFormat="1" applyFont="1" applyFill="1" applyAlignment="1">
      <alignment horizontal="right"/>
    </xf>
    <xf numFmtId="191" fontId="110" fillId="0" borderId="0" xfId="0" applyNumberFormat="1" applyFont="1"/>
    <xf numFmtId="191" fontId="111" fillId="15" borderId="0" xfId="0" applyNumberFormat="1" applyFont="1" applyFill="1"/>
    <xf numFmtId="0" fontId="110" fillId="0" borderId="0" xfId="0" applyFont="1"/>
    <xf numFmtId="191" fontId="113" fillId="0" borderId="0" xfId="0" applyNumberFormat="1" applyFont="1"/>
    <xf numFmtId="192" fontId="113" fillId="0" borderId="0" xfId="0" applyNumberFormat="1" applyFont="1"/>
    <xf numFmtId="195" fontId="110" fillId="0" borderId="0" xfId="0" applyNumberFormat="1" applyFont="1" applyFill="1"/>
    <xf numFmtId="0" fontId="43" fillId="38" borderId="86" xfId="8" applyFont="1" applyFill="1" applyBorder="1" applyAlignment="1">
      <alignment horizontal="left"/>
    </xf>
    <xf numFmtId="3" fontId="55" fillId="0" borderId="84" xfId="0" applyNumberFormat="1" applyFont="1" applyFill="1" applyBorder="1" applyAlignment="1">
      <alignment horizontal="right" vertical="center"/>
    </xf>
    <xf numFmtId="189" fontId="43" fillId="0" borderId="0" xfId="8" applyNumberFormat="1" applyFill="1" applyBorder="1"/>
    <xf numFmtId="0" fontId="223" fillId="0" borderId="0" xfId="8" applyFont="1" applyFill="1" applyBorder="1"/>
    <xf numFmtId="0" fontId="235" fillId="0" borderId="0" xfId="8" applyFont="1" applyFill="1" applyBorder="1"/>
    <xf numFmtId="198" fontId="236" fillId="0" borderId="0" xfId="1" applyNumberFormat="1" applyFont="1" applyFill="1" applyBorder="1" applyAlignment="1">
      <alignment horizontal="center" vertical="center" wrapText="1"/>
    </xf>
    <xf numFmtId="4" fontId="237" fillId="0" borderId="0" xfId="3" applyNumberFormat="1" applyFont="1" applyFill="1" applyBorder="1" applyAlignment="1">
      <alignment horizontal="right" vertical="center"/>
    </xf>
    <xf numFmtId="0" fontId="220" fillId="0" borderId="0" xfId="0" applyFont="1"/>
    <xf numFmtId="194" fontId="228" fillId="0" borderId="84" xfId="808" applyNumberFormat="1" applyFont="1" applyFill="1" applyBorder="1"/>
    <xf numFmtId="0" fontId="225" fillId="69" borderId="8" xfId="0" applyFont="1" applyFill="1" applyBorder="1"/>
    <xf numFmtId="0" fontId="225" fillId="69" borderId="84" xfId="0" applyFont="1" applyFill="1" applyBorder="1"/>
    <xf numFmtId="191" fontId="113" fillId="25" borderId="8" xfId="0" applyNumberFormat="1" applyFont="1" applyFill="1" applyBorder="1"/>
    <xf numFmtId="203" fontId="225" fillId="27" borderId="53" xfId="1" applyNumberFormat="1" applyFont="1" applyFill="1" applyBorder="1" applyAlignment="1">
      <alignment horizontal="center" vertical="center" wrapText="1"/>
    </xf>
    <xf numFmtId="206" fontId="121" fillId="2" borderId="0" xfId="0" applyNumberFormat="1" applyFont="1" applyFill="1" applyBorder="1" applyAlignment="1">
      <alignment vertical="center"/>
    </xf>
    <xf numFmtId="191" fontId="55" fillId="0" borderId="0" xfId="0" applyNumberFormat="1" applyFont="1" applyFill="1" applyBorder="1" applyAlignment="1">
      <alignment vertical="center"/>
    </xf>
    <xf numFmtId="198" fontId="231" fillId="0" borderId="84" xfId="1" applyNumberFormat="1" applyFont="1" applyFill="1" applyBorder="1" applyAlignment="1">
      <alignment vertical="center"/>
    </xf>
    <xf numFmtId="192" fontId="231" fillId="2" borderId="0" xfId="0" applyNumberFormat="1" applyFont="1" applyFill="1" applyBorder="1" applyAlignment="1">
      <alignment horizontal="center" vertical="center"/>
    </xf>
    <xf numFmtId="198" fontId="231" fillId="0" borderId="84" xfId="1" applyNumberFormat="1" applyFont="1" applyFill="1" applyBorder="1" applyAlignment="1">
      <alignment horizontal="center" vertical="center" wrapText="1"/>
    </xf>
    <xf numFmtId="197" fontId="157" fillId="2" borderId="84" xfId="0" applyNumberFormat="1" applyFont="1" applyFill="1" applyBorder="1" applyAlignment="1">
      <alignment horizontal="center" vertical="center"/>
    </xf>
    <xf numFmtId="192" fontId="231" fillId="2" borderId="84" xfId="0" applyNumberFormat="1" applyFont="1" applyFill="1" applyBorder="1" applyAlignment="1">
      <alignment horizontal="center" vertical="center"/>
    </xf>
    <xf numFmtId="0" fontId="107" fillId="35" borderId="66" xfId="4" applyFont="1" applyFill="1" applyBorder="1" applyAlignment="1">
      <alignment horizontal="center" vertical="center" wrapText="1"/>
    </xf>
    <xf numFmtId="189" fontId="58" fillId="0" borderId="10" xfId="3" applyFont="1" applyBorder="1" applyAlignment="1">
      <alignment horizontal="center" vertical="center"/>
    </xf>
    <xf numFmtId="189" fontId="58" fillId="0" borderId="10" xfId="3" applyFont="1" applyFill="1" applyBorder="1" applyAlignment="1">
      <alignment vertical="center"/>
    </xf>
    <xf numFmtId="189" fontId="59" fillId="36" borderId="99" xfId="4" applyNumberFormat="1" applyFont="1" applyFill="1" applyBorder="1"/>
    <xf numFmtId="189" fontId="58" fillId="15" borderId="10" xfId="3" applyFont="1" applyFill="1" applyBorder="1" applyAlignment="1">
      <alignment horizontal="center" vertical="center"/>
    </xf>
    <xf numFmtId="0" fontId="218" fillId="0" borderId="3" xfId="0" applyFont="1" applyBorder="1"/>
    <xf numFmtId="0" fontId="218" fillId="0" borderId="0" xfId="0" applyFont="1" applyBorder="1"/>
    <xf numFmtId="191" fontId="157" fillId="0" borderId="0" xfId="0" applyNumberFormat="1" applyFont="1" applyFill="1" applyBorder="1" applyAlignment="1">
      <alignment horizontal="center" vertical="center" wrapText="1"/>
    </xf>
    <xf numFmtId="0" fontId="218" fillId="0" borderId="0" xfId="0" applyFont="1" applyFill="1" applyBorder="1"/>
    <xf numFmtId="0" fontId="218" fillId="0" borderId="0" xfId="0" applyFont="1"/>
    <xf numFmtId="0" fontId="218" fillId="0" borderId="4" xfId="0" applyFont="1" applyBorder="1"/>
    <xf numFmtId="0" fontId="29" fillId="12" borderId="84" xfId="8" applyFont="1" applyFill="1" applyBorder="1"/>
    <xf numFmtId="0" fontId="78" fillId="0" borderId="0" xfId="0" applyFont="1" applyFill="1"/>
    <xf numFmtId="0" fontId="78" fillId="0" borderId="0" xfId="0" applyNumberFormat="1" applyFont="1" applyFill="1" applyBorder="1"/>
    <xf numFmtId="218" fontId="78" fillId="0" borderId="0" xfId="1" applyNumberFormat="1" applyFont="1"/>
    <xf numFmtId="191" fontId="45" fillId="0" borderId="8" xfId="9" applyNumberFormat="1" applyFont="1" applyFill="1" applyBorder="1" applyAlignment="1">
      <alignment horizontal="center" vertical="center"/>
    </xf>
    <xf numFmtId="0" fontId="240" fillId="2" borderId="8" xfId="8" applyFont="1" applyFill="1" applyBorder="1" applyAlignment="1">
      <alignment horizontal="right"/>
    </xf>
    <xf numFmtId="191" fontId="240" fillId="0" borderId="8" xfId="9" applyNumberFormat="1" applyFont="1" applyFill="1" applyBorder="1" applyAlignment="1">
      <alignment horizontal="center" vertical="center"/>
    </xf>
    <xf numFmtId="0" fontId="46" fillId="14" borderId="84" xfId="8" applyFont="1" applyFill="1" applyBorder="1" applyAlignment="1">
      <alignment horizontal="center" vertical="center" wrapText="1"/>
    </xf>
    <xf numFmtId="194" fontId="43" fillId="14" borderId="84" xfId="8" applyNumberFormat="1" applyFont="1" applyFill="1" applyBorder="1" applyAlignment="1">
      <alignment horizontal="center"/>
    </xf>
    <xf numFmtId="197" fontId="33" fillId="14" borderId="84" xfId="8" applyNumberFormat="1" applyFont="1" applyFill="1" applyBorder="1" applyAlignment="1">
      <alignment horizontal="center" vertical="center" wrapText="1"/>
    </xf>
    <xf numFmtId="3" fontId="43" fillId="14" borderId="84" xfId="8" applyNumberFormat="1" applyFont="1" applyFill="1" applyBorder="1" applyAlignment="1">
      <alignment horizontal="center"/>
    </xf>
    <xf numFmtId="0" fontId="232" fillId="0" borderId="84" xfId="8" applyFont="1" applyFill="1" applyBorder="1" applyAlignment="1"/>
    <xf numFmtId="0" fontId="45" fillId="74" borderId="84" xfId="8" applyFont="1" applyFill="1" applyBorder="1" applyAlignment="1">
      <alignment horizontal="center"/>
    </xf>
    <xf numFmtId="0" fontId="242" fillId="26" borderId="84" xfId="8" applyFont="1" applyFill="1" applyBorder="1" applyAlignment="1">
      <alignment horizontal="right" vertical="center"/>
    </xf>
    <xf numFmtId="0" fontId="46" fillId="15" borderId="8" xfId="8" applyFont="1" applyFill="1" applyBorder="1" applyAlignment="1"/>
    <xf numFmtId="0" fontId="53" fillId="3" borderId="86" xfId="0" applyFont="1" applyFill="1" applyBorder="1" applyAlignment="1">
      <alignment horizontal="center" vertical="center"/>
    </xf>
    <xf numFmtId="0" fontId="53" fillId="4" borderId="84" xfId="0" applyFont="1" applyFill="1" applyBorder="1" applyAlignment="1">
      <alignment horizontal="center" vertical="center" wrapText="1"/>
    </xf>
    <xf numFmtId="193" fontId="53" fillId="15" borderId="84" xfId="0" applyNumberFormat="1" applyFont="1" applyFill="1" applyBorder="1" applyAlignment="1">
      <alignment horizontal="right" vertical="center"/>
    </xf>
    <xf numFmtId="192" fontId="79" fillId="23" borderId="92" xfId="1" applyNumberFormat="1" applyFont="1" applyFill="1" applyBorder="1" applyAlignment="1">
      <alignment horizontal="center" vertical="center" wrapText="1"/>
    </xf>
    <xf numFmtId="192" fontId="79" fillId="23" borderId="87" xfId="1" applyNumberFormat="1" applyFont="1" applyFill="1" applyBorder="1" applyAlignment="1">
      <alignment horizontal="center" vertical="center" wrapText="1"/>
    </xf>
    <xf numFmtId="0" fontId="223" fillId="18" borderId="84" xfId="8" applyFont="1" applyFill="1" applyBorder="1" applyAlignment="1">
      <alignment horizontal="center"/>
    </xf>
    <xf numFmtId="3" fontId="74" fillId="73" borderId="7" xfId="8" applyNumberFormat="1" applyFont="1" applyFill="1" applyBorder="1" applyAlignment="1">
      <alignment horizontal="right"/>
    </xf>
    <xf numFmtId="189" fontId="43" fillId="2" borderId="0" xfId="8" applyNumberFormat="1" applyFill="1"/>
    <xf numFmtId="1" fontId="74" fillId="2" borderId="0" xfId="8" applyNumberFormat="1" applyFont="1" applyFill="1"/>
    <xf numFmtId="2" fontId="43" fillId="2" borderId="0" xfId="8" applyNumberFormat="1" applyFill="1" applyBorder="1"/>
    <xf numFmtId="192" fontId="244" fillId="36" borderId="99" xfId="809" applyNumberFormat="1" applyFont="1" applyFill="1" applyBorder="1"/>
    <xf numFmtId="192" fontId="94" fillId="0" borderId="26" xfId="1" applyNumberFormat="1" applyFont="1" applyFill="1" applyBorder="1" applyAlignment="1">
      <alignment horizontal="center" vertical="center" wrapText="1"/>
    </xf>
    <xf numFmtId="203" fontId="94" fillId="20" borderId="53" xfId="0" applyNumberFormat="1" applyFont="1" applyFill="1" applyBorder="1" applyAlignment="1">
      <alignment horizontal="center" vertical="center"/>
    </xf>
    <xf numFmtId="192" fontId="78" fillId="21" borderId="24" xfId="1" applyNumberFormat="1" applyFont="1" applyFill="1" applyBorder="1" applyAlignment="1">
      <alignment horizontal="center"/>
    </xf>
    <xf numFmtId="192" fontId="78" fillId="17" borderId="53" xfId="1" applyNumberFormat="1" applyFont="1" applyFill="1" applyBorder="1" applyAlignment="1">
      <alignment horizontal="center"/>
    </xf>
    <xf numFmtId="192" fontId="93" fillId="24" borderId="19" xfId="1" applyNumberFormat="1" applyFont="1" applyFill="1" applyBorder="1" applyAlignment="1">
      <alignment horizontal="center" vertical="center" wrapText="1"/>
    </xf>
    <xf numFmtId="192" fontId="48" fillId="24" borderId="96" xfId="1" applyNumberFormat="1" applyFont="1" applyFill="1" applyBorder="1" applyAlignment="1">
      <alignment horizontal="center" vertical="center" wrapText="1"/>
    </xf>
    <xf numFmtId="192" fontId="78" fillId="8" borderId="53" xfId="1" applyNumberFormat="1" applyFont="1" applyFill="1" applyBorder="1" applyAlignment="1">
      <alignment horizontal="center" vertical="center" wrapText="1"/>
    </xf>
    <xf numFmtId="192" fontId="78" fillId="8" borderId="6" xfId="1" applyNumberFormat="1" applyFont="1" applyFill="1" applyBorder="1" applyAlignment="1">
      <alignment horizontal="center" vertical="center" wrapText="1"/>
    </xf>
    <xf numFmtId="192" fontId="78" fillId="31" borderId="60" xfId="1" applyNumberFormat="1" applyFont="1" applyFill="1" applyBorder="1" applyAlignment="1">
      <alignment horizontal="center" vertical="center" wrapText="1"/>
    </xf>
    <xf numFmtId="192" fontId="78" fillId="31" borderId="6" xfId="1" applyNumberFormat="1" applyFont="1" applyFill="1" applyBorder="1" applyAlignment="1">
      <alignment horizontal="center" vertical="center" wrapText="1"/>
    </xf>
    <xf numFmtId="2" fontId="74" fillId="0" borderId="0" xfId="8" applyNumberFormat="1" applyFont="1" applyFill="1" applyBorder="1" applyAlignment="1">
      <alignment horizontal="center"/>
    </xf>
    <xf numFmtId="238" fontId="58" fillId="20" borderId="95" xfId="808" applyNumberFormat="1" applyFont="1" applyFill="1" applyBorder="1" applyAlignment="1">
      <alignment horizontal="center" vertical="center"/>
    </xf>
    <xf numFmtId="194" fontId="58" fillId="0" borderId="84" xfId="808" applyNumberFormat="1" applyFont="1" applyBorder="1"/>
    <xf numFmtId="194" fontId="58" fillId="0" borderId="0" xfId="808" applyNumberFormat="1" applyFont="1"/>
    <xf numFmtId="237" fontId="58" fillId="0" borderId="0" xfId="808" applyFont="1"/>
    <xf numFmtId="3" fontId="78" fillId="0" borderId="0" xfId="0" applyNumberFormat="1" applyFont="1" applyFill="1" applyBorder="1"/>
    <xf numFmtId="192" fontId="78" fillId="18" borderId="28" xfId="1" applyNumberFormat="1" applyFont="1" applyFill="1" applyBorder="1" applyAlignment="1">
      <alignment horizontal="center" vertical="center" wrapText="1"/>
    </xf>
    <xf numFmtId="192" fontId="78" fillId="17" borderId="27" xfId="1" applyNumberFormat="1" applyFont="1" applyFill="1" applyBorder="1" applyAlignment="1">
      <alignment horizontal="center" vertical="center" wrapText="1"/>
    </xf>
    <xf numFmtId="2" fontId="78" fillId="0" borderId="0" xfId="0" applyNumberFormat="1" applyFont="1" applyBorder="1" applyAlignment="1">
      <alignment horizontal="center"/>
    </xf>
    <xf numFmtId="0" fontId="113" fillId="28" borderId="0" xfId="0" applyFont="1" applyFill="1" applyBorder="1"/>
    <xf numFmtId="0" fontId="78" fillId="2" borderId="0" xfId="0" applyFont="1" applyFill="1"/>
    <xf numFmtId="189" fontId="120" fillId="0" borderId="0" xfId="0" applyNumberFormat="1" applyFont="1" applyBorder="1"/>
    <xf numFmtId="191" fontId="78" fillId="0" borderId="0" xfId="0" applyNumberFormat="1" applyFont="1" applyFill="1" applyBorder="1" applyAlignment="1">
      <alignment horizontal="center" vertical="center" wrapText="1"/>
    </xf>
    <xf numFmtId="218" fontId="220" fillId="0" borderId="0" xfId="1" applyNumberFormat="1" applyFont="1"/>
    <xf numFmtId="237" fontId="246" fillId="35" borderId="66" xfId="809" applyFont="1" applyFill="1" applyBorder="1" applyAlignment="1">
      <alignment horizontal="center" vertical="center" wrapText="1"/>
    </xf>
    <xf numFmtId="192" fontId="224" fillId="36" borderId="99" xfId="809" applyNumberFormat="1" applyFont="1" applyFill="1" applyBorder="1"/>
    <xf numFmtId="237" fontId="109" fillId="0" borderId="0" xfId="809" applyFont="1" applyFill="1"/>
    <xf numFmtId="197" fontId="109" fillId="0" borderId="0" xfId="1" applyNumberFormat="1" applyFont="1"/>
    <xf numFmtId="0" fontId="109" fillId="0" borderId="0" xfId="4" applyFont="1" applyBorder="1"/>
    <xf numFmtId="2" fontId="93" fillId="0" borderId="0" xfId="808" applyNumberFormat="1" applyFont="1"/>
    <xf numFmtId="237" fontId="93" fillId="0" borderId="0" xfId="808" applyFont="1"/>
    <xf numFmtId="195" fontId="109" fillId="0" borderId="10" xfId="1" applyNumberFormat="1" applyFont="1" applyFill="1" applyBorder="1" applyAlignment="1">
      <alignment horizontal="center" vertical="center"/>
    </xf>
    <xf numFmtId="43" fontId="109" fillId="0" borderId="0" xfId="810" applyFont="1" applyFill="1" applyBorder="1" applyAlignment="1">
      <alignment vertical="center"/>
    </xf>
    <xf numFmtId="237" fontId="109" fillId="0" borderId="0" xfId="809" applyFont="1"/>
    <xf numFmtId="0" fontId="109" fillId="0" borderId="0" xfId="4" applyFont="1"/>
    <xf numFmtId="191" fontId="109" fillId="0" borderId="10" xfId="811" applyNumberFormat="1" applyFont="1" applyFill="1" applyBorder="1" applyAlignment="1">
      <alignment vertical="center"/>
    </xf>
    <xf numFmtId="0" fontId="109" fillId="0" borderId="0" xfId="4" applyFont="1" applyBorder="1" applyAlignment="1">
      <alignment horizontal="center"/>
    </xf>
    <xf numFmtId="194" fontId="109" fillId="0" borderId="10" xfId="808" applyNumberFormat="1" applyFont="1" applyBorder="1"/>
    <xf numFmtId="0" fontId="109" fillId="0" borderId="0" xfId="4" applyFont="1" applyAlignment="1">
      <alignment horizontal="center"/>
    </xf>
    <xf numFmtId="4" fontId="245" fillId="0" borderId="10" xfId="3" applyNumberFormat="1" applyFont="1" applyFill="1" applyBorder="1" applyAlignment="1">
      <alignment horizontal="right" vertical="center"/>
    </xf>
    <xf numFmtId="4" fontId="144" fillId="0" borderId="84" xfId="1" applyNumberFormat="1" applyFont="1" applyFill="1" applyBorder="1" applyAlignment="1">
      <alignment horizontal="right" vertical="center"/>
    </xf>
    <xf numFmtId="198" fontId="141" fillId="2" borderId="84" xfId="1" applyNumberFormat="1" applyFont="1" applyFill="1" applyBorder="1" applyAlignment="1">
      <alignment horizontal="right" vertical="center" wrapText="1"/>
    </xf>
    <xf numFmtId="192" fontId="78" fillId="74" borderId="0" xfId="1" applyNumberFormat="1" applyFont="1" applyFill="1"/>
    <xf numFmtId="192" fontId="79" fillId="26" borderId="42" xfId="1" applyNumberFormat="1" applyFont="1" applyFill="1" applyBorder="1" applyAlignment="1"/>
    <xf numFmtId="192" fontId="79" fillId="26" borderId="42" xfId="1" applyNumberFormat="1" applyFont="1" applyFill="1" applyBorder="1" applyAlignment="1">
      <alignment horizontal="center" vertical="center"/>
    </xf>
    <xf numFmtId="194" fontId="228" fillId="73" borderId="10" xfId="808" applyNumberFormat="1" applyFont="1" applyFill="1" applyBorder="1"/>
    <xf numFmtId="195" fontId="58" fillId="73" borderId="10" xfId="810" applyNumberFormat="1" applyFont="1" applyFill="1" applyBorder="1" applyAlignment="1">
      <alignment vertical="center"/>
    </xf>
    <xf numFmtId="195" fontId="109" fillId="73" borderId="10" xfId="810" applyNumberFormat="1" applyFont="1" applyFill="1" applyBorder="1" applyAlignment="1">
      <alignment vertical="center"/>
    </xf>
    <xf numFmtId="194" fontId="228" fillId="73" borderId="84" xfId="808" applyNumberFormat="1" applyFont="1" applyFill="1" applyBorder="1"/>
    <xf numFmtId="194" fontId="58" fillId="73" borderId="84" xfId="808" applyNumberFormat="1" applyFont="1" applyFill="1" applyBorder="1"/>
    <xf numFmtId="195" fontId="58" fillId="73" borderId="10" xfId="1" applyNumberFormat="1" applyFont="1" applyFill="1" applyBorder="1" applyAlignment="1">
      <alignment horizontal="center" vertical="center"/>
    </xf>
    <xf numFmtId="195" fontId="109" fillId="73" borderId="10" xfId="1" applyNumberFormat="1" applyFont="1" applyFill="1" applyBorder="1" applyAlignment="1">
      <alignment horizontal="center" vertical="center"/>
    </xf>
    <xf numFmtId="192" fontId="59" fillId="15" borderId="99" xfId="809" applyNumberFormat="1" applyFont="1" applyFill="1" applyBorder="1"/>
    <xf numFmtId="195" fontId="58" fillId="73" borderId="10" xfId="811" applyNumberFormat="1" applyFont="1" applyFill="1" applyBorder="1" applyAlignment="1">
      <alignment vertical="center"/>
    </xf>
    <xf numFmtId="191" fontId="58" fillId="73" borderId="10" xfId="811" applyNumberFormat="1" applyFont="1" applyFill="1" applyBorder="1" applyAlignment="1">
      <alignment vertical="center"/>
    </xf>
    <xf numFmtId="191" fontId="109" fillId="73" borderId="10" xfId="811" applyNumberFormat="1" applyFont="1" applyFill="1" applyBorder="1" applyAlignment="1">
      <alignment vertical="center"/>
    </xf>
    <xf numFmtId="194" fontId="109" fillId="73" borderId="10" xfId="808" applyNumberFormat="1" applyFont="1" applyFill="1" applyBorder="1"/>
    <xf numFmtId="189" fontId="58" fillId="73" borderId="10" xfId="3" applyFont="1" applyFill="1" applyBorder="1" applyAlignment="1">
      <alignment vertical="center"/>
    </xf>
    <xf numFmtId="189" fontId="59" fillId="15" borderId="99" xfId="4" applyNumberFormat="1" applyFont="1" applyFill="1" applyBorder="1"/>
    <xf numFmtId="194" fontId="247" fillId="0" borderId="0" xfId="0" applyNumberFormat="1" applyFont="1" applyFill="1" applyBorder="1"/>
    <xf numFmtId="2" fontId="248" fillId="0" borderId="0" xfId="0" applyNumberFormat="1" applyFont="1"/>
    <xf numFmtId="0" fontId="248" fillId="0" borderId="0" xfId="0" applyFont="1"/>
    <xf numFmtId="0" fontId="43" fillId="73" borderId="84" xfId="8" applyFill="1" applyBorder="1"/>
    <xf numFmtId="194" fontId="58" fillId="0" borderId="10" xfId="808" applyNumberFormat="1" applyFont="1" applyBorder="1"/>
    <xf numFmtId="196" fontId="120" fillId="0" borderId="0" xfId="0" applyNumberFormat="1" applyFont="1" applyBorder="1"/>
    <xf numFmtId="0" fontId="55" fillId="14" borderId="84" xfId="0" applyFont="1" applyFill="1" applyBorder="1" applyAlignment="1">
      <alignment horizontal="left" vertical="center" wrapText="1"/>
    </xf>
    <xf numFmtId="0" fontId="55" fillId="14" borderId="84" xfId="0" applyFont="1" applyFill="1" applyBorder="1" applyAlignment="1">
      <alignment horizontal="center" vertical="center" wrapText="1"/>
    </xf>
    <xf numFmtId="194" fontId="52" fillId="14" borderId="10" xfId="0" applyNumberFormat="1" applyFont="1" applyFill="1" applyBorder="1" applyAlignment="1">
      <alignment horizontal="right" vertical="center"/>
    </xf>
    <xf numFmtId="193" fontId="52" fillId="14" borderId="82" xfId="0" applyNumberFormat="1" applyFont="1" applyFill="1" applyBorder="1" applyAlignment="1">
      <alignment horizontal="right" vertical="center"/>
    </xf>
    <xf numFmtId="192" fontId="93" fillId="0" borderId="0" xfId="1" applyNumberFormat="1" applyFont="1" applyBorder="1" applyAlignment="1">
      <alignment horizontal="center"/>
    </xf>
    <xf numFmtId="194" fontId="52" fillId="76" borderId="10" xfId="0" applyNumberFormat="1" applyFont="1" applyFill="1" applyBorder="1" applyAlignment="1">
      <alignment horizontal="right" vertical="center"/>
    </xf>
    <xf numFmtId="193" fontId="52" fillId="76" borderId="82" xfId="0" applyNumberFormat="1" applyFont="1" applyFill="1" applyBorder="1" applyAlignment="1">
      <alignment horizontal="right" vertical="center"/>
    </xf>
    <xf numFmtId="193" fontId="226" fillId="76" borderId="82" xfId="0" applyNumberFormat="1" applyFont="1" applyFill="1" applyBorder="1" applyAlignment="1">
      <alignment horizontal="right" vertical="center"/>
    </xf>
    <xf numFmtId="193" fontId="238" fillId="76" borderId="82" xfId="0" applyNumberFormat="1" applyFont="1" applyFill="1" applyBorder="1" applyAlignment="1">
      <alignment horizontal="right" vertical="center"/>
    </xf>
    <xf numFmtId="1" fontId="222" fillId="25" borderId="10" xfId="0" applyNumberFormat="1" applyFont="1" applyFill="1" applyBorder="1"/>
    <xf numFmtId="0" fontId="250" fillId="29" borderId="41" xfId="0" applyFont="1" applyFill="1" applyBorder="1" applyAlignment="1">
      <alignment horizontal="center" wrapText="1"/>
    </xf>
    <xf numFmtId="0" fontId="112" fillId="28" borderId="41" xfId="0" applyFont="1" applyFill="1" applyBorder="1" applyAlignment="1"/>
    <xf numFmtId="0" fontId="112" fillId="28" borderId="42" xfId="0" applyFont="1" applyFill="1" applyBorder="1" applyAlignment="1"/>
    <xf numFmtId="1" fontId="113" fillId="25" borderId="8" xfId="0" applyNumberFormat="1" applyFont="1" applyFill="1" applyBorder="1"/>
    <xf numFmtId="2" fontId="110" fillId="25" borderId="8" xfId="0" applyNumberFormat="1" applyFont="1" applyFill="1" applyBorder="1"/>
    <xf numFmtId="2" fontId="110" fillId="69" borderId="84" xfId="0" applyNumberFormat="1" applyFont="1" applyFill="1" applyBorder="1"/>
    <xf numFmtId="191" fontId="221" fillId="25" borderId="10" xfId="0" applyNumberFormat="1" applyFont="1" applyFill="1" applyBorder="1"/>
    <xf numFmtId="192" fontId="81" fillId="0" borderId="12" xfId="1" applyNumberFormat="1" applyFont="1" applyFill="1" applyBorder="1" applyAlignment="1">
      <alignment horizontal="center" vertical="center" wrapText="1"/>
    </xf>
    <xf numFmtId="194" fontId="78" fillId="15" borderId="11" xfId="1" applyNumberFormat="1" applyFont="1" applyFill="1" applyBorder="1" applyAlignment="1">
      <alignment horizontal="right" vertical="center" wrapText="1"/>
    </xf>
    <xf numFmtId="194" fontId="48" fillId="15" borderId="84" xfId="1" applyNumberFormat="1" applyFont="1" applyFill="1" applyBorder="1" applyAlignment="1">
      <alignment horizontal="right" vertical="center" wrapText="1"/>
    </xf>
    <xf numFmtId="194" fontId="78" fillId="15" borderId="84" xfId="1" applyNumberFormat="1" applyFont="1" applyFill="1" applyBorder="1" applyAlignment="1">
      <alignment horizontal="right" vertical="center" wrapText="1"/>
    </xf>
    <xf numFmtId="194" fontId="93" fillId="0" borderId="35" xfId="1" applyNumberFormat="1" applyFont="1" applyFill="1" applyBorder="1" applyAlignment="1">
      <alignment horizontal="right" vertical="center" wrapText="1"/>
    </xf>
    <xf numFmtId="194" fontId="78" fillId="15" borderId="81" xfId="1" applyNumberFormat="1" applyFont="1" applyFill="1" applyBorder="1" applyAlignment="1">
      <alignment horizontal="right" vertical="center" wrapText="1"/>
    </xf>
    <xf numFmtId="194" fontId="78" fillId="15" borderId="45" xfId="1" applyNumberFormat="1" applyFont="1" applyFill="1" applyBorder="1" applyAlignment="1">
      <alignment horizontal="right" vertical="center" wrapText="1"/>
    </xf>
    <xf numFmtId="194" fontId="78" fillId="15" borderId="46" xfId="1" applyNumberFormat="1" applyFont="1" applyFill="1" applyBorder="1" applyAlignment="1">
      <alignment horizontal="right" vertical="center" wrapText="1"/>
    </xf>
    <xf numFmtId="194" fontId="78" fillId="15" borderId="90" xfId="1" applyNumberFormat="1" applyFont="1" applyFill="1" applyBorder="1" applyAlignment="1">
      <alignment horizontal="right" vertical="center" wrapText="1"/>
    </xf>
    <xf numFmtId="194" fontId="78" fillId="15" borderId="91" xfId="1" applyNumberFormat="1" applyFont="1" applyFill="1" applyBorder="1" applyAlignment="1">
      <alignment horizontal="right" vertical="center" wrapText="1"/>
    </xf>
    <xf numFmtId="194" fontId="78" fillId="0" borderId="35" xfId="1" applyNumberFormat="1" applyFont="1" applyFill="1" applyBorder="1" applyAlignment="1">
      <alignment horizontal="right" vertical="center" wrapText="1"/>
    </xf>
    <xf numFmtId="194" fontId="78" fillId="0" borderId="37" xfId="1" applyNumberFormat="1" applyFont="1" applyFill="1" applyBorder="1" applyAlignment="1">
      <alignment horizontal="right" vertical="center" wrapText="1"/>
    </xf>
    <xf numFmtId="192" fontId="78" fillId="40" borderId="57" xfId="1" applyNumberFormat="1" applyFont="1" applyFill="1" applyBorder="1" applyAlignment="1">
      <alignment horizontal="center" vertical="top" wrapText="1"/>
    </xf>
    <xf numFmtId="192" fontId="94" fillId="40" borderId="57" xfId="1" applyNumberFormat="1" applyFont="1" applyFill="1" applyBorder="1" applyAlignment="1">
      <alignment horizontal="center" vertical="top" wrapText="1"/>
    </xf>
    <xf numFmtId="192" fontId="78" fillId="40" borderId="58" xfId="1" applyNumberFormat="1" applyFont="1" applyFill="1" applyBorder="1" applyAlignment="1">
      <alignment horizontal="center" vertical="top" wrapText="1"/>
    </xf>
    <xf numFmtId="192" fontId="219" fillId="40" borderId="58" xfId="1" applyNumberFormat="1" applyFont="1" applyFill="1" applyBorder="1" applyAlignment="1">
      <alignment horizontal="center" vertical="top" wrapText="1"/>
    </xf>
    <xf numFmtId="192" fontId="78" fillId="40" borderId="49" xfId="1" applyNumberFormat="1" applyFont="1" applyFill="1" applyBorder="1" applyAlignment="1">
      <alignment horizontal="center" vertical="top" wrapText="1"/>
    </xf>
    <xf numFmtId="192" fontId="219" fillId="40" borderId="49" xfId="1" applyNumberFormat="1" applyFont="1" applyFill="1" applyBorder="1" applyAlignment="1">
      <alignment horizontal="center" vertical="top" wrapText="1"/>
    </xf>
    <xf numFmtId="192" fontId="81" fillId="0" borderId="44" xfId="1" applyNumberFormat="1" applyFont="1" applyFill="1" applyBorder="1" applyAlignment="1">
      <alignment horizontal="center" vertical="center" wrapText="1"/>
    </xf>
    <xf numFmtId="0" fontId="55" fillId="8" borderId="84" xfId="0" applyFont="1" applyFill="1" applyBorder="1" applyAlignment="1">
      <alignment horizontal="left" vertical="center" wrapText="1"/>
    </xf>
    <xf numFmtId="0" fontId="55" fillId="8" borderId="84" xfId="0" applyFont="1" applyFill="1" applyBorder="1" applyAlignment="1">
      <alignment horizontal="center" vertical="center" wrapText="1"/>
    </xf>
    <xf numFmtId="194" fontId="52" fillId="8" borderId="10" xfId="0" applyNumberFormat="1" applyFont="1" applyFill="1" applyBorder="1" applyAlignment="1">
      <alignment horizontal="right" vertical="center"/>
    </xf>
    <xf numFmtId="193" fontId="52" fillId="8" borderId="82" xfId="0" applyNumberFormat="1" applyFont="1" applyFill="1" applyBorder="1" applyAlignment="1">
      <alignment horizontal="right" vertical="center"/>
    </xf>
    <xf numFmtId="192" fontId="110" fillId="0" borderId="0" xfId="0" applyNumberFormat="1" applyFont="1" applyFill="1"/>
    <xf numFmtId="196" fontId="111" fillId="0" borderId="0" xfId="0" applyNumberFormat="1" applyFont="1" applyFill="1"/>
    <xf numFmtId="0" fontId="110" fillId="0" borderId="0" xfId="0" applyFont="1" applyFill="1"/>
    <xf numFmtId="191" fontId="111" fillId="0" borderId="0" xfId="0" applyNumberFormat="1" applyFont="1" applyFill="1"/>
    <xf numFmtId="192" fontId="78" fillId="15" borderId="95" xfId="1" applyNumberFormat="1" applyFont="1" applyFill="1" applyBorder="1"/>
    <xf numFmtId="194" fontId="78" fillId="15" borderId="56" xfId="1" applyNumberFormat="1" applyFont="1" applyFill="1" applyBorder="1" applyAlignment="1">
      <alignment horizontal="right" vertical="center" wrapText="1"/>
    </xf>
    <xf numFmtId="194" fontId="48" fillId="15" borderId="60" xfId="1" applyNumberFormat="1" applyFont="1" applyFill="1" applyBorder="1" applyAlignment="1">
      <alignment horizontal="right" vertical="center" wrapText="1"/>
    </xf>
    <xf numFmtId="194" fontId="78" fillId="15" borderId="60" xfId="1" applyNumberFormat="1" applyFont="1" applyFill="1" applyBorder="1" applyAlignment="1">
      <alignment horizontal="right" vertical="center" wrapText="1"/>
    </xf>
    <xf numFmtId="192" fontId="78" fillId="15" borderId="98" xfId="1" applyNumberFormat="1" applyFont="1" applyFill="1" applyBorder="1" applyAlignment="1">
      <alignment horizontal="right" vertical="center" wrapText="1"/>
    </xf>
    <xf numFmtId="196" fontId="78" fillId="15" borderId="98" xfId="1" applyNumberFormat="1" applyFont="1" applyFill="1" applyBorder="1" applyAlignment="1">
      <alignment horizontal="right" vertical="center" wrapText="1"/>
    </xf>
    <xf numFmtId="192" fontId="78" fillId="15" borderId="98" xfId="1" applyNumberFormat="1" applyFont="1" applyFill="1" applyBorder="1" applyAlignment="1">
      <alignment horizontal="center" vertical="center" wrapText="1"/>
    </xf>
    <xf numFmtId="194" fontId="0" fillId="0" borderId="0" xfId="0" applyNumberFormat="1" applyBorder="1"/>
    <xf numFmtId="0" fontId="127" fillId="30" borderId="50" xfId="1" applyNumberFormat="1" applyFont="1" applyFill="1" applyBorder="1"/>
    <xf numFmtId="0" fontId="119" fillId="2" borderId="0" xfId="8" applyNumberFormat="1" applyFont="1" applyFill="1" applyAlignment="1">
      <alignment horizontal="center"/>
    </xf>
    <xf numFmtId="0" fontId="243" fillId="75" borderId="84" xfId="8" quotePrefix="1" applyFont="1" applyFill="1" applyBorder="1" applyAlignment="1">
      <alignment horizontal="center"/>
    </xf>
    <xf numFmtId="0" fontId="74" fillId="9" borderId="84" xfId="8" quotePrefix="1" applyFont="1" applyFill="1" applyBorder="1" applyAlignment="1">
      <alignment horizontal="center" vertical="center"/>
    </xf>
    <xf numFmtId="0" fontId="0" fillId="0" borderId="0" xfId="0" applyFont="1"/>
    <xf numFmtId="191" fontId="53" fillId="0" borderId="0" xfId="0" applyNumberFormat="1" applyFont="1" applyFill="1" applyBorder="1" applyAlignment="1">
      <alignment horizontal="center" vertical="center" wrapText="1"/>
    </xf>
    <xf numFmtId="191" fontId="53" fillId="6" borderId="84" xfId="0" applyNumberFormat="1" applyFont="1" applyFill="1" applyBorder="1" applyAlignment="1">
      <alignment horizontal="center" vertical="center" wrapText="1"/>
    </xf>
    <xf numFmtId="191" fontId="53" fillId="5" borderId="12" xfId="0" applyNumberFormat="1" applyFont="1" applyFill="1" applyBorder="1" applyAlignment="1">
      <alignment horizontal="center" vertical="center"/>
    </xf>
    <xf numFmtId="191" fontId="53" fillId="5" borderId="10" xfId="0" applyNumberFormat="1" applyFont="1" applyFill="1" applyBorder="1" applyAlignment="1">
      <alignment horizontal="center" vertical="center"/>
    </xf>
    <xf numFmtId="191" fontId="53" fillId="0" borderId="0" xfId="0" applyNumberFormat="1" applyFont="1" applyFill="1" applyBorder="1" applyAlignment="1">
      <alignment horizontal="center" vertical="center"/>
    </xf>
    <xf numFmtId="191" fontId="53" fillId="6" borderId="10" xfId="0" applyNumberFormat="1" applyFont="1" applyFill="1" applyBorder="1" applyAlignment="1">
      <alignment horizontal="center" vertical="center" wrapText="1"/>
    </xf>
    <xf numFmtId="197" fontId="55" fillId="11" borderId="84" xfId="1" applyNumberFormat="1" applyFont="1" applyFill="1" applyBorder="1" applyAlignment="1">
      <alignment vertical="center" wrapText="1"/>
    </xf>
    <xf numFmtId="191" fontId="251" fillId="77" borderId="12" xfId="0" applyNumberFormat="1" applyFont="1" applyFill="1" applyBorder="1" applyAlignment="1">
      <alignment horizontal="center" vertical="center" wrapText="1"/>
    </xf>
    <xf numFmtId="0" fontId="78" fillId="0" borderId="83" xfId="0" applyFont="1" applyBorder="1"/>
    <xf numFmtId="0" fontId="120" fillId="0" borderId="1" xfId="0" applyFont="1" applyBorder="1"/>
    <xf numFmtId="191" fontId="94" fillId="5" borderId="84" xfId="0" applyNumberFormat="1" applyFont="1" applyFill="1" applyBorder="1" applyAlignment="1">
      <alignment horizontal="center" vertical="center"/>
    </xf>
    <xf numFmtId="0" fontId="53" fillId="2" borderId="84" xfId="0" applyFont="1" applyFill="1" applyBorder="1" applyAlignment="1">
      <alignment horizontal="center" vertical="center" wrapText="1"/>
    </xf>
    <xf numFmtId="192" fontId="51" fillId="0" borderId="84" xfId="1" applyNumberFormat="1" applyFont="1" applyBorder="1"/>
    <xf numFmtId="192" fontId="51" fillId="0" borderId="82" xfId="1" applyNumberFormat="1" applyFont="1" applyBorder="1"/>
    <xf numFmtId="0" fontId="55" fillId="39" borderId="84" xfId="0" applyFont="1" applyFill="1" applyBorder="1" applyAlignment="1">
      <alignment horizontal="left" vertical="center" wrapText="1"/>
    </xf>
    <xf numFmtId="192" fontId="52" fillId="39" borderId="84" xfId="1" applyNumberFormat="1" applyFont="1" applyFill="1" applyBorder="1"/>
    <xf numFmtId="0" fontId="55" fillId="15" borderId="84" xfId="0" applyFont="1" applyFill="1" applyBorder="1" applyAlignment="1">
      <alignment horizontal="left" vertical="center" wrapText="1"/>
    </xf>
    <xf numFmtId="0" fontId="55" fillId="15" borderId="84" xfId="0" applyFont="1" applyFill="1" applyBorder="1" applyAlignment="1">
      <alignment horizontal="center" vertical="center" wrapText="1"/>
    </xf>
    <xf numFmtId="193" fontId="51" fillId="2" borderId="82" xfId="0" applyNumberFormat="1" applyFont="1" applyFill="1" applyBorder="1" applyAlignment="1">
      <alignment horizontal="right" vertical="center"/>
    </xf>
    <xf numFmtId="193" fontId="51" fillId="0" borderId="82" xfId="0" applyNumberFormat="1" applyFont="1" applyFill="1" applyBorder="1" applyAlignment="1">
      <alignment horizontal="right" vertical="center"/>
    </xf>
    <xf numFmtId="0" fontId="55" fillId="18" borderId="84" xfId="0" applyFont="1" applyFill="1" applyBorder="1" applyAlignment="1">
      <alignment horizontal="left" vertical="center" wrapText="1"/>
    </xf>
    <xf numFmtId="0" fontId="55" fillId="18" borderId="84" xfId="0" applyFont="1" applyFill="1" applyBorder="1" applyAlignment="1">
      <alignment horizontal="center" vertical="center" wrapText="1"/>
    </xf>
    <xf numFmtId="0" fontId="55" fillId="76" borderId="84" xfId="0" applyFont="1" applyFill="1" applyBorder="1" applyAlignment="1">
      <alignment horizontal="left" vertical="center" wrapText="1"/>
    </xf>
    <xf numFmtId="0" fontId="55" fillId="76" borderId="84" xfId="0" applyFont="1" applyFill="1" applyBorder="1" applyAlignment="1">
      <alignment horizontal="center" vertical="center" wrapText="1"/>
    </xf>
    <xf numFmtId="193" fontId="52" fillId="2" borderId="84" xfId="0" applyNumberFormat="1" applyFont="1" applyFill="1" applyBorder="1" applyAlignment="1">
      <alignment horizontal="right" vertical="center"/>
    </xf>
    <xf numFmtId="193" fontId="51" fillId="0" borderId="84" xfId="0" applyNumberFormat="1" applyFont="1" applyFill="1" applyBorder="1" applyAlignment="1">
      <alignment horizontal="right" vertical="center"/>
    </xf>
    <xf numFmtId="192" fontId="51" fillId="9" borderId="84" xfId="0" applyNumberFormat="1" applyFont="1" applyFill="1" applyBorder="1" applyAlignment="1">
      <alignment vertical="center"/>
    </xf>
    <xf numFmtId="0" fontId="55" fillId="2" borderId="84" xfId="0" quotePrefix="1" applyFont="1" applyFill="1" applyBorder="1" applyAlignment="1">
      <alignment horizontal="left" vertical="center" wrapText="1"/>
    </xf>
    <xf numFmtId="0" fontId="55" fillId="2" borderId="84" xfId="0" applyFont="1" applyFill="1" applyBorder="1" applyAlignment="1">
      <alignment vertical="center" wrapText="1"/>
    </xf>
    <xf numFmtId="193" fontId="55" fillId="2" borderId="84" xfId="1" applyNumberFormat="1" applyFont="1" applyFill="1" applyBorder="1" applyAlignment="1">
      <alignment vertical="center" wrapText="1"/>
    </xf>
    <xf numFmtId="193" fontId="53" fillId="8" borderId="86" xfId="1" applyNumberFormat="1" applyFont="1" applyFill="1" applyBorder="1" applyAlignment="1">
      <alignment vertical="center" wrapText="1"/>
    </xf>
    <xf numFmtId="193" fontId="53" fillId="8" borderId="85" xfId="1" quotePrefix="1" applyNumberFormat="1" applyFont="1" applyFill="1" applyBorder="1" applyAlignment="1">
      <alignment vertical="center" wrapText="1"/>
    </xf>
    <xf numFmtId="194" fontId="78" fillId="0" borderId="0" xfId="0" applyNumberFormat="1" applyFont="1" applyBorder="1"/>
    <xf numFmtId="193" fontId="55" fillId="2" borderId="84" xfId="0" applyNumberFormat="1" applyFont="1" applyFill="1" applyBorder="1" applyAlignment="1">
      <alignment vertical="center"/>
    </xf>
    <xf numFmtId="192" fontId="53" fillId="9" borderId="84" xfId="1" applyNumberFormat="1" applyFont="1" applyFill="1" applyBorder="1" applyAlignment="1">
      <alignment vertical="center"/>
    </xf>
    <xf numFmtId="193" fontId="53" fillId="8" borderId="85" xfId="1" applyNumberFormat="1" applyFont="1" applyFill="1" applyBorder="1" applyAlignment="1">
      <alignment vertical="center" wrapText="1"/>
    </xf>
    <xf numFmtId="191" fontId="53" fillId="9" borderId="84" xfId="1" applyNumberFormat="1" applyFont="1" applyFill="1" applyBorder="1" applyAlignment="1">
      <alignment vertical="center"/>
    </xf>
    <xf numFmtId="191" fontId="53" fillId="0" borderId="84" xfId="0" applyNumberFormat="1" applyFont="1" applyFill="1" applyBorder="1" applyAlignment="1">
      <alignment horizontal="center" vertical="center" wrapText="1"/>
    </xf>
    <xf numFmtId="198" fontId="55" fillId="0" borderId="84" xfId="1" applyNumberFormat="1" applyFont="1" applyFill="1" applyBorder="1" applyAlignment="1">
      <alignment horizontal="left" vertical="center"/>
    </xf>
    <xf numFmtId="198" fontId="55" fillId="0" borderId="84" xfId="1" applyNumberFormat="1" applyFont="1" applyFill="1" applyBorder="1" applyAlignment="1">
      <alignment horizontal="center" vertical="center" wrapText="1"/>
    </xf>
    <xf numFmtId="195" fontId="57" fillId="0" borderId="84" xfId="3" applyNumberFormat="1" applyFont="1" applyFill="1" applyBorder="1" applyAlignment="1">
      <alignment vertical="center"/>
    </xf>
    <xf numFmtId="189" fontId="245" fillId="0" borderId="84" xfId="3" applyFont="1" applyFill="1" applyBorder="1" applyAlignment="1">
      <alignment vertical="center"/>
    </xf>
    <xf numFmtId="3" fontId="55" fillId="0" borderId="84" xfId="1" applyNumberFormat="1" applyFont="1" applyFill="1" applyBorder="1" applyAlignment="1">
      <alignment horizontal="right" vertical="center" wrapText="1"/>
    </xf>
    <xf numFmtId="194" fontId="145" fillId="0" borderId="84" xfId="1" applyNumberFormat="1" applyFont="1" applyFill="1" applyBorder="1" applyAlignment="1">
      <alignment horizontal="right" vertical="center" wrapText="1"/>
    </xf>
    <xf numFmtId="4" fontId="55" fillId="0" borderId="84" xfId="0" applyNumberFormat="1" applyFont="1" applyFill="1" applyBorder="1" applyAlignment="1">
      <alignment horizontal="right" vertical="center"/>
    </xf>
    <xf numFmtId="192" fontId="55" fillId="0" borderId="84" xfId="0" applyNumberFormat="1" applyFont="1" applyFill="1" applyBorder="1" applyAlignment="1">
      <alignment vertical="center"/>
    </xf>
    <xf numFmtId="4" fontId="55" fillId="0" borderId="84" xfId="1" applyNumberFormat="1" applyFont="1" applyFill="1" applyBorder="1" applyAlignment="1">
      <alignment horizontal="right"/>
    </xf>
    <xf numFmtId="194" fontId="144" fillId="0" borderId="84" xfId="1" applyNumberFormat="1" applyFont="1" applyFill="1" applyBorder="1" applyAlignment="1">
      <alignment horizontal="right" vertical="center"/>
    </xf>
    <xf numFmtId="198" fontId="236" fillId="0" borderId="84" xfId="1" applyNumberFormat="1" applyFont="1" applyFill="1" applyBorder="1" applyAlignment="1">
      <alignment horizontal="left" vertical="center"/>
    </xf>
    <xf numFmtId="198" fontId="53" fillId="0" borderId="84" xfId="1" applyNumberFormat="1" applyFont="1" applyFill="1" applyBorder="1" applyAlignment="1">
      <alignment horizontal="left" vertical="center"/>
    </xf>
    <xf numFmtId="195" fontId="55" fillId="0" borderId="84" xfId="1" applyNumberFormat="1" applyFont="1" applyFill="1" applyBorder="1" applyAlignment="1">
      <alignment horizontal="right" vertical="center"/>
    </xf>
    <xf numFmtId="195" fontId="237" fillId="0" borderId="84" xfId="3" applyNumberFormat="1" applyFont="1" applyFill="1" applyBorder="1" applyAlignment="1">
      <alignment vertical="center"/>
    </xf>
    <xf numFmtId="198" fontId="55" fillId="0" borderId="84" xfId="1" applyNumberFormat="1" applyFont="1" applyFill="1" applyBorder="1" applyAlignment="1">
      <alignment vertical="center"/>
    </xf>
    <xf numFmtId="195" fontId="239" fillId="0" borderId="84" xfId="3" applyNumberFormat="1" applyFont="1" applyFill="1" applyBorder="1" applyAlignment="1">
      <alignment vertical="center"/>
    </xf>
    <xf numFmtId="0" fontId="55" fillId="2" borderId="84" xfId="0" applyFont="1" applyFill="1" applyBorder="1"/>
    <xf numFmtId="198" fontId="55" fillId="2" borderId="84" xfId="1" applyNumberFormat="1" applyFont="1" applyFill="1" applyBorder="1" applyAlignment="1">
      <alignment horizontal="center" vertical="center" wrapText="1"/>
    </xf>
    <xf numFmtId="3" fontId="55" fillId="0" borderId="84" xfId="0" applyNumberFormat="1" applyFont="1" applyBorder="1"/>
    <xf numFmtId="191" fontId="53" fillId="8" borderId="84" xfId="0" applyNumberFormat="1" applyFont="1" applyFill="1" applyBorder="1" applyAlignment="1">
      <alignment vertical="center"/>
    </xf>
    <xf numFmtId="191" fontId="53" fillId="9" borderId="84" xfId="0" applyNumberFormat="1" applyFont="1" applyFill="1" applyBorder="1" applyAlignment="1">
      <alignment vertical="center"/>
    </xf>
    <xf numFmtId="191" fontId="53" fillId="8" borderId="84" xfId="0" applyNumberFormat="1" applyFont="1" applyFill="1" applyBorder="1" applyAlignment="1">
      <alignment horizontal="right" vertical="center"/>
    </xf>
    <xf numFmtId="193" fontId="53" fillId="8" borderId="84" xfId="0" applyNumberFormat="1" applyFont="1" applyFill="1" applyBorder="1" applyAlignment="1">
      <alignment horizontal="right" vertical="center"/>
    </xf>
    <xf numFmtId="0" fontId="55" fillId="2" borderId="84" xfId="0" applyFont="1" applyFill="1" applyBorder="1" applyAlignment="1">
      <alignment horizontal="center"/>
    </xf>
    <xf numFmtId="0" fontId="55" fillId="0" borderId="84" xfId="0" applyFont="1" applyBorder="1" applyAlignment="1">
      <alignment horizontal="center"/>
    </xf>
    <xf numFmtId="194" fontId="53" fillId="9" borderId="84" xfId="0" applyNumberFormat="1" applyFont="1" applyFill="1" applyBorder="1" applyAlignment="1">
      <alignment vertical="center"/>
    </xf>
    <xf numFmtId="0" fontId="53" fillId="15" borderId="84" xfId="0" applyFont="1" applyFill="1" applyBorder="1" applyAlignment="1">
      <alignment horizontal="center" vertical="center" wrapText="1"/>
    </xf>
    <xf numFmtId="0" fontId="52" fillId="0" borderId="4" xfId="0" applyFont="1" applyBorder="1"/>
    <xf numFmtId="189" fontId="122" fillId="0" borderId="4" xfId="0" applyNumberFormat="1" applyFont="1" applyBorder="1"/>
    <xf numFmtId="195" fontId="122" fillId="0" borderId="4" xfId="0" applyNumberFormat="1" applyFont="1" applyBorder="1"/>
    <xf numFmtId="0" fontId="121" fillId="0" borderId="4" xfId="0" applyFont="1" applyBorder="1"/>
    <xf numFmtId="0" fontId="120" fillId="0" borderId="4" xfId="0" applyFont="1" applyBorder="1"/>
    <xf numFmtId="194" fontId="78" fillId="15" borderId="88" xfId="1" applyNumberFormat="1" applyFont="1" applyFill="1" applyBorder="1" applyAlignment="1">
      <alignment horizontal="right" vertical="center" wrapText="1"/>
    </xf>
    <xf numFmtId="194" fontId="78" fillId="15" borderId="86" xfId="1" applyNumberFormat="1" applyFont="1" applyFill="1" applyBorder="1" applyAlignment="1">
      <alignment horizontal="right" vertical="center" wrapText="1"/>
    </xf>
    <xf numFmtId="193" fontId="55" fillId="0" borderId="84" xfId="1" applyNumberFormat="1" applyFont="1" applyFill="1" applyBorder="1" applyAlignment="1">
      <alignment vertical="center"/>
    </xf>
    <xf numFmtId="240" fontId="55" fillId="81" borderId="84" xfId="1" applyNumberFormat="1" applyFont="1" applyFill="1" applyBorder="1" applyAlignment="1">
      <alignment vertical="center"/>
    </xf>
    <xf numFmtId="193" fontId="55" fillId="0" borderId="84" xfId="1" applyNumberFormat="1" applyFont="1" applyFill="1" applyBorder="1" applyAlignment="1">
      <alignment horizontal="right" vertical="center"/>
    </xf>
    <xf numFmtId="193" fontId="55" fillId="11" borderId="84" xfId="1" applyNumberFormat="1" applyFont="1" applyFill="1" applyBorder="1" applyAlignment="1">
      <alignment horizontal="right" vertical="center" wrapText="1"/>
    </xf>
    <xf numFmtId="193" fontId="55" fillId="2" borderId="84" xfId="1" applyNumberFormat="1" applyFont="1" applyFill="1" applyBorder="1" applyAlignment="1">
      <alignment horizontal="right" vertical="center"/>
    </xf>
    <xf numFmtId="193" fontId="55" fillId="2" borderId="84" xfId="1" applyNumberFormat="1" applyFont="1" applyFill="1" applyBorder="1" applyAlignment="1">
      <alignment horizontal="right"/>
    </xf>
    <xf numFmtId="194" fontId="55" fillId="0" borderId="84" xfId="1" applyNumberFormat="1" applyFont="1" applyFill="1" applyBorder="1" applyAlignment="1">
      <alignment vertical="center"/>
    </xf>
    <xf numFmtId="192" fontId="48" fillId="15" borderId="84" xfId="1" applyNumberFormat="1" applyFont="1" applyFill="1" applyBorder="1" applyAlignment="1">
      <alignment horizontal="center" vertical="center" wrapText="1"/>
    </xf>
    <xf numFmtId="192" fontId="78" fillId="15" borderId="84" xfId="1" applyNumberFormat="1" applyFont="1" applyFill="1" applyBorder="1" applyAlignment="1">
      <alignment horizontal="center" vertical="center" wrapText="1"/>
    </xf>
    <xf numFmtId="192" fontId="48" fillId="15" borderId="85" xfId="1" applyNumberFormat="1" applyFont="1" applyFill="1" applyBorder="1" applyAlignment="1">
      <alignment horizontal="center" vertical="center" wrapText="1"/>
    </xf>
    <xf numFmtId="192" fontId="78" fillId="15" borderId="85" xfId="1" applyNumberFormat="1" applyFont="1" applyFill="1" applyBorder="1" applyAlignment="1">
      <alignment horizontal="center" vertical="center" wrapText="1"/>
    </xf>
    <xf numFmtId="203" fontId="52" fillId="2" borderId="0" xfId="0" applyNumberFormat="1" applyFont="1" applyFill="1" applyBorder="1" applyAlignment="1">
      <alignment vertical="center"/>
    </xf>
    <xf numFmtId="192" fontId="55" fillId="2" borderId="84" xfId="1" applyNumberFormat="1" applyFont="1" applyFill="1" applyBorder="1" applyAlignment="1">
      <alignment vertical="center"/>
    </xf>
    <xf numFmtId="193" fontId="78" fillId="0" borderId="0" xfId="0" applyNumberFormat="1" applyFont="1" applyBorder="1"/>
    <xf numFmtId="0" fontId="78" fillId="0" borderId="3" xfId="0" applyFont="1" applyBorder="1" applyAlignment="1">
      <alignment vertical="center"/>
    </xf>
    <xf numFmtId="193" fontId="55" fillId="0" borderId="84" xfId="0" applyNumberFormat="1" applyFont="1" applyBorder="1" applyAlignment="1">
      <alignment vertical="center"/>
    </xf>
    <xf numFmtId="0" fontId="120" fillId="0" borderId="0" xfId="0" applyFont="1" applyBorder="1" applyAlignment="1">
      <alignment vertical="center"/>
    </xf>
    <xf numFmtId="0" fontId="78" fillId="0" borderId="4" xfId="0" applyFont="1" applyBorder="1" applyAlignment="1">
      <alignment vertical="center"/>
    </xf>
    <xf numFmtId="0" fontId="78" fillId="0" borderId="0" xfId="0" applyFont="1" applyAlignment="1">
      <alignment vertical="center"/>
    </xf>
    <xf numFmtId="193" fontId="78" fillId="0" borderId="84" xfId="0" applyNumberFormat="1" applyFont="1" applyBorder="1" applyAlignment="1">
      <alignment vertical="center"/>
    </xf>
    <xf numFmtId="202" fontId="74" fillId="2" borderId="0" xfId="8" applyNumberFormat="1" applyFont="1" applyFill="1"/>
    <xf numFmtId="191" fontId="129" fillId="30" borderId="49" xfId="0" applyNumberFormat="1" applyFont="1" applyFill="1" applyBorder="1"/>
    <xf numFmtId="2" fontId="114" fillId="69" borderId="84" xfId="0" applyNumberFormat="1" applyFont="1" applyFill="1" applyBorder="1"/>
    <xf numFmtId="241" fontId="0" fillId="0" borderId="0" xfId="1" applyNumberFormat="1" applyFont="1"/>
    <xf numFmtId="0" fontId="0" fillId="83" borderId="0" xfId="0" applyFill="1"/>
    <xf numFmtId="0" fontId="46" fillId="0" borderId="0" xfId="0" applyFont="1"/>
    <xf numFmtId="0" fontId="137" fillId="15" borderId="83" xfId="0" applyFont="1" applyFill="1" applyBorder="1" applyAlignment="1">
      <alignment horizontal="center" vertical="center"/>
    </xf>
    <xf numFmtId="0" fontId="137" fillId="15" borderId="1" xfId="0" applyFont="1" applyFill="1" applyBorder="1" applyAlignment="1">
      <alignment horizontal="center" vertical="center"/>
    </xf>
    <xf numFmtId="0" fontId="137" fillId="15" borderId="2" xfId="0" applyFont="1" applyFill="1" applyBorder="1" applyAlignment="1">
      <alignment horizontal="center" vertical="center"/>
    </xf>
    <xf numFmtId="0" fontId="137" fillId="15" borderId="82" xfId="0" applyFont="1" applyFill="1" applyBorder="1" applyAlignment="1">
      <alignment horizontal="center" vertical="center"/>
    </xf>
    <xf numFmtId="0" fontId="137" fillId="84" borderId="83" xfId="0" applyFont="1" applyFill="1" applyBorder="1" applyAlignment="1">
      <alignment horizontal="center" vertical="center"/>
    </xf>
    <xf numFmtId="0" fontId="137" fillId="84" borderId="82" xfId="0" applyFont="1" applyFill="1" applyBorder="1" applyAlignment="1">
      <alignment horizontal="center" vertical="center"/>
    </xf>
    <xf numFmtId="0" fontId="137" fillId="15" borderId="3" xfId="0" applyFont="1" applyFill="1" applyBorder="1" applyAlignment="1">
      <alignment horizontal="center" vertical="center"/>
    </xf>
    <xf numFmtId="0" fontId="137" fillId="15" borderId="0" xfId="0" applyFont="1" applyFill="1" applyBorder="1" applyAlignment="1">
      <alignment horizontal="center" vertical="center"/>
    </xf>
    <xf numFmtId="0" fontId="137" fillId="15" borderId="4" xfId="0" applyFont="1" applyFill="1" applyBorder="1" applyAlignment="1">
      <alignment horizontal="center" vertical="center"/>
    </xf>
    <xf numFmtId="0" fontId="137" fillId="15" borderId="12" xfId="0" applyFont="1" applyFill="1" applyBorder="1" applyAlignment="1">
      <alignment horizontal="center" vertical="center"/>
    </xf>
    <xf numFmtId="0" fontId="137" fillId="84" borderId="3" xfId="0" applyFont="1" applyFill="1" applyBorder="1" applyAlignment="1">
      <alignment horizontal="center" vertical="center"/>
    </xf>
    <xf numFmtId="0" fontId="137" fillId="84" borderId="12" xfId="0" applyFont="1" applyFill="1" applyBorder="1" applyAlignment="1">
      <alignment horizontal="center" vertical="center"/>
    </xf>
    <xf numFmtId="0" fontId="137" fillId="15" borderId="101" xfId="0" applyFont="1" applyFill="1" applyBorder="1" applyAlignment="1">
      <alignment horizontal="center" vertical="center"/>
    </xf>
    <xf numFmtId="0" fontId="137" fillId="15" borderId="93" xfId="0" applyFont="1" applyFill="1" applyBorder="1" applyAlignment="1">
      <alignment horizontal="center" vertical="center"/>
    </xf>
    <xf numFmtId="0" fontId="137" fillId="15" borderId="102" xfId="0" applyFont="1" applyFill="1" applyBorder="1" applyAlignment="1">
      <alignment horizontal="center" vertical="center"/>
    </xf>
    <xf numFmtId="0" fontId="137" fillId="15" borderId="103" xfId="0" applyFont="1" applyFill="1" applyBorder="1" applyAlignment="1">
      <alignment horizontal="center" vertical="center"/>
    </xf>
    <xf numFmtId="0" fontId="137" fillId="84" borderId="101" xfId="0" applyFont="1" applyFill="1" applyBorder="1" applyAlignment="1">
      <alignment horizontal="center" vertical="center"/>
    </xf>
    <xf numFmtId="43" fontId="137" fillId="15" borderId="101" xfId="1" applyFont="1" applyFill="1" applyBorder="1" applyAlignment="1">
      <alignment horizontal="center" vertical="center"/>
    </xf>
    <xf numFmtId="43" fontId="137" fillId="15" borderId="66" xfId="1" applyFont="1" applyFill="1" applyBorder="1" applyAlignment="1">
      <alignment horizontal="center" vertical="center"/>
    </xf>
    <xf numFmtId="43" fontId="137" fillId="15" borderId="93" xfId="1" applyFont="1" applyFill="1" applyBorder="1" applyAlignment="1">
      <alignment horizontal="center" vertical="center"/>
    </xf>
    <xf numFmtId="0" fontId="137" fillId="15" borderId="66" xfId="0" applyFont="1" applyFill="1" applyBorder="1" applyAlignment="1">
      <alignment horizontal="center" vertical="center"/>
    </xf>
    <xf numFmtId="0" fontId="137" fillId="84" borderId="103" xfId="0" applyFont="1" applyFill="1" applyBorder="1" applyAlignment="1">
      <alignment horizontal="center" vertical="center"/>
    </xf>
    <xf numFmtId="0" fontId="137" fillId="36" borderId="3" xfId="0" applyFont="1" applyFill="1" applyBorder="1" applyAlignment="1">
      <alignment vertical="center"/>
    </xf>
    <xf numFmtId="0" fontId="137" fillId="36" borderId="0" xfId="0" applyFont="1" applyFill="1" applyBorder="1" applyAlignment="1">
      <alignment vertical="center"/>
    </xf>
    <xf numFmtId="0" fontId="136" fillId="36" borderId="104" xfId="0" applyFont="1" applyFill="1" applyBorder="1" applyAlignment="1">
      <alignment horizontal="center" vertical="center"/>
    </xf>
    <xf numFmtId="195" fontId="136" fillId="36" borderId="105" xfId="1" applyNumberFormat="1" applyFont="1" applyFill="1" applyBorder="1" applyAlignment="1">
      <alignment vertical="center"/>
    </xf>
    <xf numFmtId="0" fontId="136" fillId="0" borderId="106" xfId="0" applyFont="1" applyBorder="1" applyAlignment="1">
      <alignment vertical="center"/>
    </xf>
    <xf numFmtId="0" fontId="136" fillId="0" borderId="107" xfId="0" applyFont="1" applyBorder="1" applyAlignment="1">
      <alignment vertical="center"/>
    </xf>
    <xf numFmtId="0" fontId="136" fillId="0" borderId="108" xfId="0" applyFont="1" applyBorder="1" applyAlignment="1">
      <alignment vertical="center"/>
    </xf>
    <xf numFmtId="0" fontId="136" fillId="0" borderId="109" xfId="0" applyFont="1" applyBorder="1" applyAlignment="1">
      <alignment horizontal="center" vertical="center"/>
    </xf>
    <xf numFmtId="195" fontId="136" fillId="0" borderId="106" xfId="1" applyNumberFormat="1" applyFont="1" applyBorder="1" applyAlignment="1">
      <alignment vertical="center"/>
    </xf>
    <xf numFmtId="195" fontId="136" fillId="85" borderId="110" xfId="1" applyNumberFormat="1" applyFont="1" applyFill="1" applyBorder="1" applyAlignment="1">
      <alignment vertical="center"/>
    </xf>
    <xf numFmtId="195" fontId="256" fillId="83" borderId="109" xfId="1" applyNumberFormat="1" applyFont="1" applyFill="1" applyBorder="1" applyAlignment="1">
      <alignment vertical="center"/>
    </xf>
    <xf numFmtId="195" fontId="136" fillId="14" borderId="109" xfId="1" applyNumberFormat="1" applyFont="1" applyFill="1" applyBorder="1" applyAlignment="1">
      <alignment vertical="center"/>
    </xf>
    <xf numFmtId="195" fontId="256" fillId="83" borderId="108" xfId="1" applyNumberFormat="1" applyFont="1" applyFill="1" applyBorder="1" applyAlignment="1">
      <alignment vertical="center"/>
    </xf>
    <xf numFmtId="195" fontId="256" fillId="83" borderId="106" xfId="1" applyNumberFormat="1" applyFont="1" applyFill="1" applyBorder="1" applyAlignment="1">
      <alignment vertical="center"/>
    </xf>
    <xf numFmtId="196" fontId="46" fillId="0" borderId="0" xfId="0" applyNumberFormat="1" applyFont="1" applyAlignment="1">
      <alignment horizontal="center"/>
    </xf>
    <xf numFmtId="0" fontId="46" fillId="0" borderId="0" xfId="0" applyFont="1" applyAlignment="1">
      <alignment horizontal="center"/>
    </xf>
    <xf numFmtId="195" fontId="136" fillId="85" borderId="12" xfId="1" applyNumberFormat="1" applyFont="1" applyFill="1" applyBorder="1" applyAlignment="1">
      <alignment vertical="center"/>
    </xf>
    <xf numFmtId="0" fontId="137" fillId="0" borderId="106" xfId="0" applyFont="1" applyFill="1" applyBorder="1" applyAlignment="1">
      <alignment vertical="center"/>
    </xf>
    <xf numFmtId="0" fontId="137" fillId="0" borderId="107" xfId="0" applyFont="1" applyFill="1" applyBorder="1" applyAlignment="1">
      <alignment vertical="center"/>
    </xf>
    <xf numFmtId="0" fontId="137" fillId="0" borderId="108" xfId="0" applyFont="1" applyFill="1" applyBorder="1" applyAlignment="1">
      <alignment vertical="center"/>
    </xf>
    <xf numFmtId="0" fontId="137" fillId="0" borderId="109" xfId="0" applyFont="1" applyFill="1" applyBorder="1" applyAlignment="1">
      <alignment horizontal="center" vertical="center"/>
    </xf>
    <xf numFmtId="195" fontId="137" fillId="16" borderId="106" xfId="1" applyNumberFormat="1" applyFont="1" applyFill="1" applyBorder="1" applyAlignment="1">
      <alignment vertical="center"/>
    </xf>
    <xf numFmtId="195" fontId="137" fillId="85" borderId="12" xfId="1" applyNumberFormat="1" applyFont="1" applyFill="1" applyBorder="1" applyAlignment="1">
      <alignment vertical="center"/>
    </xf>
    <xf numFmtId="195" fontId="137" fillId="16" borderId="109" xfId="1" applyNumberFormat="1" applyFont="1" applyFill="1" applyBorder="1" applyAlignment="1">
      <alignment vertical="center"/>
    </xf>
    <xf numFmtId="195" fontId="137" fillId="16" borderId="108" xfId="1" applyNumberFormat="1" applyFont="1" applyFill="1" applyBorder="1" applyAlignment="1">
      <alignment vertical="center"/>
    </xf>
    <xf numFmtId="0" fontId="136" fillId="36" borderId="0" xfId="0" applyFont="1" applyFill="1" applyBorder="1" applyAlignment="1">
      <alignment vertical="center"/>
    </xf>
    <xf numFmtId="195" fontId="136" fillId="36" borderId="109" xfId="1" applyNumberFormat="1" applyFont="1" applyFill="1" applyBorder="1" applyAlignment="1">
      <alignment vertical="center"/>
    </xf>
    <xf numFmtId="195" fontId="136" fillId="36" borderId="106" xfId="1" applyNumberFormat="1" applyFont="1" applyFill="1" applyBorder="1" applyAlignment="1">
      <alignment vertical="center"/>
    </xf>
    <xf numFmtId="195" fontId="136" fillId="36" borderId="107" xfId="1" applyNumberFormat="1" applyFont="1" applyFill="1" applyBorder="1" applyAlignment="1">
      <alignment vertical="center"/>
    </xf>
    <xf numFmtId="195" fontId="136" fillId="36" borderId="108" xfId="1" applyNumberFormat="1" applyFont="1" applyFill="1" applyBorder="1" applyAlignment="1">
      <alignment vertical="center"/>
    </xf>
    <xf numFmtId="195" fontId="136" fillId="0" borderId="109" xfId="1" applyNumberFormat="1" applyFont="1" applyBorder="1" applyAlignment="1">
      <alignment vertical="center"/>
    </xf>
    <xf numFmtId="195" fontId="136" fillId="85" borderId="111" xfId="1" applyNumberFormat="1" applyFont="1" applyFill="1" applyBorder="1" applyAlignment="1">
      <alignment vertical="center"/>
    </xf>
    <xf numFmtId="195" fontId="136" fillId="85" borderId="4" xfId="1" applyNumberFormat="1" applyFont="1" applyFill="1" applyBorder="1" applyAlignment="1">
      <alignment vertical="center"/>
    </xf>
    <xf numFmtId="0" fontId="136" fillId="0" borderId="112" xfId="0" applyFont="1" applyBorder="1" applyAlignment="1">
      <alignment vertical="center"/>
    </xf>
    <xf numFmtId="0" fontId="136" fillId="0" borderId="113" xfId="0" applyFont="1" applyBorder="1" applyAlignment="1">
      <alignment vertical="center"/>
    </xf>
    <xf numFmtId="0" fontId="136" fillId="0" borderId="111" xfId="0" applyFont="1" applyBorder="1" applyAlignment="1">
      <alignment vertical="center"/>
    </xf>
    <xf numFmtId="0" fontId="136" fillId="0" borderId="110" xfId="0" applyFont="1" applyBorder="1" applyAlignment="1">
      <alignment horizontal="center" vertical="center"/>
    </xf>
    <xf numFmtId="195" fontId="136" fillId="0" borderId="112" xfId="1" applyNumberFormat="1" applyFont="1" applyBorder="1" applyAlignment="1">
      <alignment vertical="center"/>
    </xf>
    <xf numFmtId="195" fontId="256" fillId="83" borderId="112" xfId="1" applyNumberFormat="1" applyFont="1" applyFill="1" applyBorder="1" applyAlignment="1">
      <alignment vertical="center"/>
    </xf>
    <xf numFmtId="195" fontId="256" fillId="83" borderId="110" xfId="1" applyNumberFormat="1" applyFont="1" applyFill="1" applyBorder="1" applyAlignment="1">
      <alignment vertical="center"/>
    </xf>
    <xf numFmtId="195" fontId="136" fillId="0" borderId="110" xfId="1" applyNumberFormat="1" applyFont="1" applyBorder="1" applyAlignment="1">
      <alignment vertical="center"/>
    </xf>
    <xf numFmtId="195" fontId="136" fillId="14" borderId="110" xfId="1" applyNumberFormat="1" applyFont="1" applyFill="1" applyBorder="1" applyAlignment="1">
      <alignment vertical="center"/>
    </xf>
    <xf numFmtId="195" fontId="256" fillId="83" borderId="111" xfId="1" applyNumberFormat="1" applyFont="1" applyFill="1" applyBorder="1" applyAlignment="1">
      <alignment vertical="center"/>
    </xf>
    <xf numFmtId="0" fontId="136" fillId="0" borderId="114" xfId="0" applyFont="1" applyBorder="1" applyAlignment="1">
      <alignment vertical="center"/>
    </xf>
    <xf numFmtId="0" fontId="136" fillId="0" borderId="115" xfId="0" applyFont="1" applyBorder="1" applyAlignment="1">
      <alignment vertical="center"/>
    </xf>
    <xf numFmtId="0" fontId="136" fillId="0" borderId="116" xfId="0" applyFont="1" applyBorder="1" applyAlignment="1">
      <alignment vertical="center"/>
    </xf>
    <xf numFmtId="0" fontId="136" fillId="0" borderId="117" xfId="0" applyFont="1" applyBorder="1" applyAlignment="1">
      <alignment horizontal="center" vertical="center"/>
    </xf>
    <xf numFmtId="195" fontId="136" fillId="0" borderId="114" xfId="1" applyNumberFormat="1" applyFont="1" applyBorder="1" applyAlignment="1">
      <alignment vertical="center"/>
    </xf>
    <xf numFmtId="195" fontId="136" fillId="85" borderId="114" xfId="1" applyNumberFormat="1" applyFont="1" applyFill="1" applyBorder="1" applyAlignment="1">
      <alignment vertical="center"/>
    </xf>
    <xf numFmtId="195" fontId="136" fillId="85" borderId="117" xfId="1" applyNumberFormat="1" applyFont="1" applyFill="1" applyBorder="1" applyAlignment="1">
      <alignment vertical="center"/>
    </xf>
    <xf numFmtId="195" fontId="136" fillId="85" borderId="10" xfId="1" applyNumberFormat="1" applyFont="1" applyFill="1" applyBorder="1" applyAlignment="1">
      <alignment vertical="center"/>
    </xf>
    <xf numFmtId="195" fontId="136" fillId="14" borderId="117" xfId="1" applyNumberFormat="1" applyFont="1" applyFill="1" applyBorder="1" applyAlignment="1">
      <alignment vertical="center"/>
    </xf>
    <xf numFmtId="195" fontId="256" fillId="83" borderId="116" xfId="1" applyNumberFormat="1" applyFont="1" applyFill="1" applyBorder="1" applyAlignment="1">
      <alignment vertical="center"/>
    </xf>
    <xf numFmtId="195" fontId="256" fillId="83" borderId="114" xfId="1" applyNumberFormat="1" applyFont="1" applyFill="1" applyBorder="1" applyAlignment="1">
      <alignment vertical="center"/>
    </xf>
    <xf numFmtId="195" fontId="256" fillId="83" borderId="117" xfId="1" applyNumberFormat="1" applyFont="1" applyFill="1" applyBorder="1" applyAlignment="1">
      <alignment vertical="center"/>
    </xf>
    <xf numFmtId="195" fontId="136" fillId="85" borderId="14" xfId="1" applyNumberFormat="1" applyFont="1" applyFill="1" applyBorder="1" applyAlignment="1">
      <alignment vertical="center"/>
    </xf>
    <xf numFmtId="0" fontId="257" fillId="0" borderId="0" xfId="0" applyFont="1" applyAlignment="1">
      <alignment vertical="center"/>
    </xf>
    <xf numFmtId="0" fontId="253" fillId="85" borderId="83" xfId="0" applyFont="1" applyFill="1" applyBorder="1"/>
    <xf numFmtId="0" fontId="254" fillId="85" borderId="1" xfId="0" applyFont="1" applyFill="1" applyBorder="1"/>
    <xf numFmtId="0" fontId="0" fillId="85" borderId="2" xfId="0" applyFill="1" applyBorder="1"/>
    <xf numFmtId="0" fontId="258" fillId="85" borderId="11" xfId="0" applyFont="1" applyFill="1" applyBorder="1"/>
    <xf numFmtId="0" fontId="254" fillId="85" borderId="13" xfId="0" applyFont="1" applyFill="1" applyBorder="1"/>
    <xf numFmtId="189" fontId="257" fillId="0" borderId="0" xfId="1" applyNumberFormat="1" applyFont="1" applyAlignment="1">
      <alignment vertical="center"/>
    </xf>
    <xf numFmtId="192" fontId="78" fillId="40" borderId="26" xfId="1" applyNumberFormat="1" applyFont="1" applyFill="1" applyBorder="1" applyAlignment="1">
      <alignment horizontal="center" vertical="center" wrapText="1"/>
    </xf>
    <xf numFmtId="0" fontId="47" fillId="0" borderId="0" xfId="8" applyFont="1" applyFill="1"/>
    <xf numFmtId="192" fontId="93" fillId="26" borderId="34" xfId="1" applyNumberFormat="1" applyFont="1" applyFill="1" applyBorder="1" applyAlignment="1">
      <alignment horizontal="center" vertical="center" wrapText="1"/>
    </xf>
    <xf numFmtId="192" fontId="56" fillId="26" borderId="37" xfId="1" applyNumberFormat="1" applyFont="1" applyFill="1" applyBorder="1" applyAlignment="1">
      <alignment horizontal="center" vertical="center" wrapText="1"/>
    </xf>
    <xf numFmtId="192" fontId="93" fillId="26" borderId="55" xfId="1" applyNumberFormat="1" applyFont="1" applyFill="1" applyBorder="1" applyAlignment="1">
      <alignment horizontal="center" vertical="center" wrapText="1"/>
    </xf>
    <xf numFmtId="192" fontId="93" fillId="26" borderId="19" xfId="1" applyNumberFormat="1" applyFont="1" applyFill="1" applyBorder="1" applyAlignment="1">
      <alignment horizontal="center" vertical="center" wrapText="1"/>
    </xf>
    <xf numFmtId="192" fontId="78" fillId="0" borderId="64" xfId="1" applyNumberFormat="1" applyFont="1" applyFill="1" applyBorder="1" applyAlignment="1">
      <alignment vertical="center" wrapText="1"/>
    </xf>
    <xf numFmtId="191" fontId="53" fillId="6" borderId="84" xfId="0" applyNumberFormat="1" applyFont="1" applyFill="1" applyBorder="1" applyAlignment="1">
      <alignment horizontal="center" vertical="center" wrapText="1"/>
    </xf>
    <xf numFmtId="192" fontId="53" fillId="9" borderId="11" xfId="1" applyNumberFormat="1" applyFont="1" applyFill="1" applyBorder="1" applyAlignment="1">
      <alignment vertical="center"/>
    </xf>
    <xf numFmtId="192" fontId="53" fillId="9" borderId="86" xfId="1" applyNumberFormat="1" applyFont="1" applyFill="1" applyBorder="1" applyAlignment="1">
      <alignment vertical="center"/>
    </xf>
    <xf numFmtId="191" fontId="251" fillId="77" borderId="84" xfId="0" applyNumberFormat="1" applyFont="1" applyFill="1" applyBorder="1" applyAlignment="1">
      <alignment horizontal="center" vertical="center" wrapText="1"/>
    </xf>
    <xf numFmtId="193" fontId="55" fillId="0" borderId="84" xfId="1" applyNumberFormat="1" applyFont="1" applyFill="1" applyBorder="1" applyAlignment="1">
      <alignment vertical="center" wrapText="1"/>
    </xf>
    <xf numFmtId="192" fontId="55" fillId="0" borderId="10" xfId="1" applyNumberFormat="1" applyFont="1" applyFill="1" applyBorder="1" applyAlignment="1">
      <alignment vertical="center"/>
    </xf>
    <xf numFmtId="192" fontId="55" fillId="0" borderId="84" xfId="1" applyNumberFormat="1" applyFont="1" applyFill="1" applyBorder="1" applyAlignment="1">
      <alignment vertical="center"/>
    </xf>
    <xf numFmtId="191" fontId="53" fillId="0" borderId="0" xfId="0" applyNumberFormat="1" applyFont="1" applyFill="1" applyBorder="1" applyAlignment="1">
      <alignment horizontal="center" vertical="center" wrapText="1"/>
    </xf>
    <xf numFmtId="191" fontId="53" fillId="6" borderId="84" xfId="0" applyNumberFormat="1" applyFont="1" applyFill="1" applyBorder="1" applyAlignment="1">
      <alignment horizontal="center" vertical="center" wrapText="1"/>
    </xf>
    <xf numFmtId="0" fontId="46" fillId="15" borderId="8" xfId="8" applyFont="1" applyFill="1" applyBorder="1" applyAlignment="1">
      <alignment horizontal="right"/>
    </xf>
    <xf numFmtId="192" fontId="55" fillId="8" borderId="11" xfId="1" applyNumberFormat="1" applyFont="1" applyFill="1" applyBorder="1" applyAlignment="1">
      <alignment vertical="center"/>
    </xf>
    <xf numFmtId="192" fontId="141" fillId="8" borderId="11" xfId="1" applyNumberFormat="1" applyFont="1" applyFill="1" applyBorder="1" applyAlignment="1">
      <alignment horizontal="center" vertical="center"/>
    </xf>
    <xf numFmtId="192" fontId="141" fillId="8" borderId="86" xfId="1" applyNumberFormat="1" applyFont="1" applyFill="1" applyBorder="1" applyAlignment="1">
      <alignment horizontal="center" vertical="center"/>
    </xf>
    <xf numFmtId="0" fontId="135" fillId="0" borderId="0" xfId="0" applyFont="1"/>
    <xf numFmtId="1" fontId="135" fillId="0" borderId="0" xfId="0" applyNumberFormat="1" applyFont="1"/>
    <xf numFmtId="0" fontId="135" fillId="0" borderId="0" xfId="0" applyNumberFormat="1" applyFont="1"/>
    <xf numFmtId="0" fontId="235" fillId="0" borderId="0" xfId="0" applyFont="1"/>
    <xf numFmtId="0" fontId="0" fillId="0" borderId="0" xfId="0" applyNumberFormat="1"/>
    <xf numFmtId="0" fontId="260" fillId="0" borderId="0" xfId="0" applyFont="1"/>
    <xf numFmtId="0" fontId="261" fillId="0" borderId="0" xfId="0" applyFont="1"/>
    <xf numFmtId="0" fontId="262" fillId="0" borderId="0" xfId="0" applyFont="1"/>
    <xf numFmtId="242" fontId="135" fillId="0" borderId="0" xfId="0" applyNumberFormat="1" applyFont="1"/>
    <xf numFmtId="0" fontId="263" fillId="0" borderId="0" xfId="0" applyFont="1"/>
    <xf numFmtId="1" fontId="263" fillId="0" borderId="0" xfId="0" applyNumberFormat="1" applyFont="1"/>
    <xf numFmtId="0" fontId="264" fillId="0" borderId="0" xfId="0" applyFont="1"/>
    <xf numFmtId="1" fontId="264" fillId="0" borderId="0" xfId="0" applyNumberFormat="1" applyFont="1"/>
    <xf numFmtId="0" fontId="265" fillId="0" borderId="0" xfId="0" applyFont="1"/>
    <xf numFmtId="1" fontId="265" fillId="0" borderId="0" xfId="0" applyNumberFormat="1" applyFont="1"/>
    <xf numFmtId="242" fontId="138" fillId="0" borderId="0" xfId="0" applyNumberFormat="1" applyFont="1"/>
    <xf numFmtId="0" fontId="138" fillId="0" borderId="0" xfId="0" applyFont="1"/>
    <xf numFmtId="1" fontId="138" fillId="0" borderId="0" xfId="0" applyNumberFormat="1" applyFont="1"/>
    <xf numFmtId="0" fontId="266" fillId="0" borderId="0" xfId="0" applyFont="1"/>
    <xf numFmtId="1" fontId="266" fillId="0" borderId="0" xfId="0" applyNumberFormat="1" applyFont="1"/>
    <xf numFmtId="0" fontId="267" fillId="0" borderId="0" xfId="0" applyFont="1"/>
    <xf numFmtId="1" fontId="267" fillId="0" borderId="0" xfId="0" applyNumberFormat="1" applyFont="1"/>
    <xf numFmtId="0" fontId="268" fillId="0" borderId="0" xfId="0" applyFont="1"/>
    <xf numFmtId="1" fontId="268" fillId="0" borderId="0" xfId="0" applyNumberFormat="1" applyFont="1"/>
    <xf numFmtId="15" fontId="135" fillId="0" borderId="0" xfId="0" applyNumberFormat="1" applyFont="1"/>
    <xf numFmtId="191" fontId="135" fillId="0" borderId="0" xfId="0" applyNumberFormat="1" applyFont="1"/>
    <xf numFmtId="243" fontId="104" fillId="0" borderId="59" xfId="51" applyNumberFormat="1" applyFont="1" applyFill="1" applyBorder="1" applyAlignment="1">
      <alignment horizontal="center" vertical="center"/>
    </xf>
    <xf numFmtId="191" fontId="139" fillId="0" borderId="0" xfId="0" applyNumberFormat="1" applyFont="1"/>
    <xf numFmtId="0" fontId="263" fillId="0" borderId="0" xfId="0" applyNumberFormat="1" applyFont="1"/>
    <xf numFmtId="0" fontId="264" fillId="0" borderId="0" xfId="0" applyNumberFormat="1" applyFont="1"/>
    <xf numFmtId="0" fontId="265" fillId="0" borderId="0" xfId="0" applyNumberFormat="1" applyFont="1"/>
    <xf numFmtId="2" fontId="265" fillId="0" borderId="0" xfId="0" applyNumberFormat="1" applyFont="1"/>
    <xf numFmtId="2" fontId="140" fillId="0" borderId="0" xfId="0" applyNumberFormat="1" applyFont="1"/>
    <xf numFmtId="0" fontId="139" fillId="0" borderId="0" xfId="0" applyNumberFormat="1" applyFont="1"/>
    <xf numFmtId="0" fontId="269" fillId="0" borderId="0" xfId="0" applyNumberFormat="1" applyFont="1"/>
    <xf numFmtId="2" fontId="139" fillId="0" borderId="0" xfId="0" applyNumberFormat="1" applyFont="1"/>
    <xf numFmtId="2" fontId="147" fillId="0" borderId="0" xfId="0" applyNumberFormat="1" applyFont="1"/>
    <xf numFmtId="2" fontId="135" fillId="0" borderId="0" xfId="0" applyNumberFormat="1" applyFont="1"/>
    <xf numFmtId="243" fontId="229" fillId="15" borderId="59" xfId="51" applyNumberFormat="1" applyFont="1" applyFill="1" applyBorder="1" applyAlignment="1">
      <alignment horizontal="center" vertical="center"/>
    </xf>
    <xf numFmtId="191" fontId="139" fillId="15" borderId="0" xfId="0" applyNumberFormat="1" applyFont="1" applyFill="1"/>
    <xf numFmtId="0" fontId="139" fillId="15" borderId="0" xfId="0" applyNumberFormat="1" applyFont="1" applyFill="1"/>
    <xf numFmtId="2" fontId="139" fillId="15" borderId="0" xfId="0" applyNumberFormat="1" applyFont="1" applyFill="1"/>
    <xf numFmtId="0" fontId="93" fillId="15" borderId="0" xfId="0" applyFont="1" applyFill="1"/>
    <xf numFmtId="0" fontId="140" fillId="0" borderId="0" xfId="0" applyNumberFormat="1" applyFont="1"/>
    <xf numFmtId="15" fontId="138" fillId="0" borderId="0" xfId="0" applyNumberFormat="1" applyFont="1"/>
    <xf numFmtId="0" fontId="270" fillId="0" borderId="0" xfId="0" applyFont="1"/>
    <xf numFmtId="0" fontId="270" fillId="0" borderId="0" xfId="0" quotePrefix="1" applyFont="1"/>
    <xf numFmtId="0" fontId="270" fillId="0" borderId="0" xfId="0" applyNumberFormat="1" applyFont="1"/>
    <xf numFmtId="0" fontId="48" fillId="0" borderId="0" xfId="0" applyFont="1"/>
    <xf numFmtId="0" fontId="48" fillId="0" borderId="0" xfId="0" applyFont="1" applyAlignment="1">
      <alignment vertical="center"/>
    </xf>
    <xf numFmtId="0" fontId="271" fillId="0" borderId="0" xfId="0" applyFont="1" applyAlignment="1">
      <alignment vertical="center"/>
    </xf>
    <xf numFmtId="0" fontId="270" fillId="0" borderId="0" xfId="0" applyFont="1" applyAlignment="1">
      <alignment vertical="center"/>
    </xf>
    <xf numFmtId="0" fontId="270" fillId="0" borderId="84" xfId="0" applyFont="1" applyBorder="1" applyAlignment="1">
      <alignment horizontal="center"/>
    </xf>
    <xf numFmtId="0" fontId="272" fillId="0" borderId="82" xfId="0" applyFont="1" applyBorder="1"/>
    <xf numFmtId="4" fontId="270" fillId="0" borderId="82" xfId="0" applyNumberFormat="1" applyFont="1" applyBorder="1"/>
    <xf numFmtId="0" fontId="270" fillId="0" borderId="104" xfId="0" applyFont="1" applyBorder="1" applyAlignment="1">
      <alignment horizontal="left" indent="1"/>
    </xf>
    <xf numFmtId="4" fontId="270" fillId="0" borderId="104" xfId="0" applyNumberFormat="1" applyFont="1" applyBorder="1"/>
    <xf numFmtId="3" fontId="270" fillId="0" borderId="104" xfId="0" applyNumberFormat="1" applyFont="1" applyBorder="1"/>
    <xf numFmtId="0" fontId="270" fillId="0" borderId="117" xfId="0" applyFont="1" applyBorder="1" applyAlignment="1">
      <alignment horizontal="left" indent="1"/>
    </xf>
    <xf numFmtId="4" fontId="270" fillId="0" borderId="117" xfId="0" applyNumberFormat="1" applyFont="1" applyBorder="1"/>
    <xf numFmtId="3" fontId="270" fillId="0" borderId="117" xfId="0" applyNumberFormat="1" applyFont="1" applyBorder="1"/>
    <xf numFmtId="0" fontId="272" fillId="0" borderId="82" xfId="0" applyFont="1" applyBorder="1" applyAlignment="1"/>
    <xf numFmtId="3" fontId="270" fillId="0" borderId="82" xfId="0" applyNumberFormat="1" applyFont="1" applyBorder="1"/>
    <xf numFmtId="0" fontId="270" fillId="0" borderId="109" xfId="0" applyFont="1" applyBorder="1" applyAlignment="1">
      <alignment horizontal="left" indent="1"/>
    </xf>
    <xf numFmtId="4" fontId="270" fillId="0" borderId="109" xfId="0" applyNumberFormat="1" applyFont="1" applyBorder="1"/>
    <xf numFmtId="3" fontId="270" fillId="0" borderId="109" xfId="0" applyNumberFormat="1" applyFont="1" applyBorder="1"/>
    <xf numFmtId="0" fontId="270" fillId="0" borderId="0" xfId="0" applyFont="1" applyAlignment="1">
      <alignment horizontal="right"/>
    </xf>
    <xf numFmtId="3" fontId="273" fillId="15" borderId="0" xfId="0" applyNumberFormat="1" applyFont="1" applyFill="1"/>
    <xf numFmtId="192" fontId="81" fillId="0" borderId="3" xfId="1" applyNumberFormat="1" applyFont="1" applyFill="1" applyBorder="1" applyAlignment="1">
      <alignment horizontal="center" vertical="center" wrapText="1"/>
    </xf>
    <xf numFmtId="192" fontId="81" fillId="0" borderId="4" xfId="1" applyNumberFormat="1" applyFont="1" applyFill="1" applyBorder="1" applyAlignment="1">
      <alignment horizontal="center" vertical="center" wrapText="1"/>
    </xf>
    <xf numFmtId="192" fontId="81" fillId="0" borderId="118" xfId="1" applyNumberFormat="1" applyFont="1" applyFill="1" applyBorder="1" applyAlignment="1">
      <alignment horizontal="center" vertical="center" wrapText="1"/>
    </xf>
    <xf numFmtId="194" fontId="93" fillId="0" borderId="20" xfId="1" applyNumberFormat="1" applyFont="1" applyFill="1" applyBorder="1" applyAlignment="1">
      <alignment horizontal="right" vertical="center" wrapText="1"/>
    </xf>
    <xf numFmtId="194" fontId="48" fillId="15" borderId="13" xfId="1" applyNumberFormat="1" applyFont="1" applyFill="1" applyBorder="1" applyAlignment="1">
      <alignment horizontal="right" vertical="center" wrapText="1"/>
    </xf>
    <xf numFmtId="194" fontId="78" fillId="15" borderId="13" xfId="1" applyNumberFormat="1" applyFont="1" applyFill="1" applyBorder="1" applyAlignment="1">
      <alignment horizontal="right" vertical="center" wrapText="1"/>
    </xf>
    <xf numFmtId="194" fontId="78" fillId="15" borderId="98" xfId="1" applyNumberFormat="1" applyFont="1" applyFill="1" applyBorder="1" applyAlignment="1">
      <alignment horizontal="right" vertical="center" wrapText="1"/>
    </xf>
    <xf numFmtId="194" fontId="93" fillId="0" borderId="34" xfId="1" applyNumberFormat="1" applyFont="1" applyFill="1" applyBorder="1" applyAlignment="1">
      <alignment horizontal="right" vertical="center" wrapText="1"/>
    </xf>
    <xf numFmtId="192" fontId="249" fillId="0" borderId="18" xfId="1" applyNumberFormat="1" applyFont="1" applyFill="1" applyBorder="1" applyAlignment="1">
      <alignment horizontal="center" vertical="center" wrapText="1"/>
    </xf>
    <xf numFmtId="192" fontId="219" fillId="0" borderId="18" xfId="1" applyNumberFormat="1" applyFont="1" applyFill="1" applyBorder="1" applyAlignment="1">
      <alignment horizontal="center" vertical="center" wrapText="1"/>
    </xf>
    <xf numFmtId="192" fontId="249" fillId="0" borderId="45" xfId="1" applyNumberFormat="1" applyFont="1" applyFill="1" applyBorder="1" applyAlignment="1">
      <alignment horizontal="center" vertical="center" wrapText="1"/>
    </xf>
    <xf numFmtId="192" fontId="219" fillId="0" borderId="45" xfId="1" applyNumberFormat="1" applyFont="1" applyFill="1" applyBorder="1" applyAlignment="1">
      <alignment horizontal="center" vertical="center" wrapText="1"/>
    </xf>
    <xf numFmtId="194" fontId="93" fillId="0" borderId="54" xfId="1" applyNumberFormat="1" applyFont="1" applyFill="1" applyBorder="1" applyAlignment="1">
      <alignment horizontal="right" vertical="center" wrapText="1"/>
    </xf>
    <xf numFmtId="194" fontId="78" fillId="15" borderId="85" xfId="1" applyNumberFormat="1" applyFont="1" applyFill="1" applyBorder="1" applyAlignment="1">
      <alignment horizontal="right" vertical="center" wrapText="1"/>
    </xf>
    <xf numFmtId="194" fontId="78" fillId="15" borderId="118" xfId="1" applyNumberFormat="1" applyFont="1" applyFill="1" applyBorder="1" applyAlignment="1">
      <alignment horizontal="right" vertical="center" wrapText="1"/>
    </xf>
    <xf numFmtId="194" fontId="48" fillId="15" borderId="88" xfId="1" applyNumberFormat="1" applyFont="1" applyFill="1" applyBorder="1" applyAlignment="1">
      <alignment horizontal="right" vertical="center" wrapText="1"/>
    </xf>
    <xf numFmtId="194" fontId="48" fillId="15" borderId="81" xfId="1" applyNumberFormat="1" applyFont="1" applyFill="1" applyBorder="1" applyAlignment="1">
      <alignment horizontal="right" vertical="center" wrapText="1"/>
    </xf>
    <xf numFmtId="194" fontId="78" fillId="15" borderId="44" xfId="1" applyNumberFormat="1" applyFont="1" applyFill="1" applyBorder="1" applyAlignment="1">
      <alignment horizontal="right" vertical="center" wrapText="1"/>
    </xf>
    <xf numFmtId="0" fontId="127" fillId="27" borderId="49" xfId="0" applyFont="1" applyFill="1" applyBorder="1"/>
    <xf numFmtId="191" fontId="127" fillId="30" borderId="49" xfId="0" applyNumberFormat="1" applyFont="1" applyFill="1" applyBorder="1"/>
    <xf numFmtId="191" fontId="127" fillId="30" borderId="46" xfId="0" applyNumberFormat="1" applyFont="1" applyFill="1" applyBorder="1"/>
    <xf numFmtId="191" fontId="129" fillId="37" borderId="46" xfId="0" applyNumberFormat="1" applyFont="1" applyFill="1" applyBorder="1"/>
    <xf numFmtId="1" fontId="127" fillId="30" borderId="49" xfId="0" applyNumberFormat="1" applyFont="1" applyFill="1" applyBorder="1"/>
    <xf numFmtId="203" fontId="225" fillId="27" borderId="97" xfId="1" applyNumberFormat="1" applyFont="1" applyFill="1" applyBorder="1" applyAlignment="1">
      <alignment horizontal="center" vertical="center" wrapText="1"/>
    </xf>
    <xf numFmtId="191" fontId="113" fillId="25" borderId="90" xfId="0" applyNumberFormat="1" applyFont="1" applyFill="1" applyBorder="1"/>
    <xf numFmtId="191" fontId="110" fillId="25" borderId="90" xfId="0" applyNumberFormat="1" applyFont="1" applyFill="1" applyBorder="1"/>
    <xf numFmtId="191" fontId="113" fillId="28" borderId="90" xfId="0" applyNumberFormat="1" applyFont="1" applyFill="1" applyBorder="1"/>
    <xf numFmtId="0" fontId="113" fillId="25" borderId="90" xfId="0" applyFont="1" applyFill="1" applyBorder="1"/>
    <xf numFmtId="0" fontId="113" fillId="28" borderId="50" xfId="0" applyFont="1" applyFill="1" applyBorder="1"/>
    <xf numFmtId="0" fontId="113" fillId="69" borderId="90" xfId="0" applyFont="1" applyFill="1" applyBorder="1"/>
    <xf numFmtId="0" fontId="225" fillId="69" borderId="90" xfId="0" applyFont="1" applyFill="1" applyBorder="1"/>
    <xf numFmtId="2" fontId="113" fillId="25" borderId="90" xfId="0" applyNumberFormat="1" applyFont="1" applyFill="1" applyBorder="1"/>
    <xf numFmtId="2" fontId="110" fillId="25" borderId="90" xfId="0" applyNumberFormat="1" applyFont="1" applyFill="1" applyBorder="1"/>
    <xf numFmtId="2" fontId="113" fillId="69" borderId="90" xfId="0" applyNumberFormat="1" applyFont="1" applyFill="1" applyBorder="1"/>
    <xf numFmtId="0" fontId="110" fillId="25" borderId="90" xfId="0" applyFont="1" applyFill="1" applyBorder="1"/>
    <xf numFmtId="1" fontId="113" fillId="25" borderId="90" xfId="0" applyNumberFormat="1" applyFont="1" applyFill="1" applyBorder="1"/>
    <xf numFmtId="194" fontId="222" fillId="25" borderId="10" xfId="0" applyNumberFormat="1" applyFont="1" applyFill="1" applyBorder="1"/>
    <xf numFmtId="194" fontId="110" fillId="25" borderId="8" xfId="0" applyNumberFormat="1" applyFont="1" applyFill="1" applyBorder="1"/>
    <xf numFmtId="194" fontId="113" fillId="25" borderId="90" xfId="0" applyNumberFormat="1" applyFont="1" applyFill="1" applyBorder="1"/>
    <xf numFmtId="194" fontId="127" fillId="30" borderId="49" xfId="0" applyNumberFormat="1" applyFont="1" applyFill="1" applyBorder="1"/>
    <xf numFmtId="191" fontId="0" fillId="0" borderId="0" xfId="0" applyNumberFormat="1" applyFill="1" applyBorder="1" applyAlignment="1">
      <alignment horizontal="center" vertical="center" wrapText="1"/>
    </xf>
    <xf numFmtId="0" fontId="0" fillId="0" borderId="0" xfId="0" applyFill="1" applyBorder="1" applyAlignment="1"/>
    <xf numFmtId="0" fontId="79" fillId="0" borderId="0" xfId="0" applyFont="1" applyFill="1" applyBorder="1" applyAlignment="1">
      <alignment vertical="center"/>
    </xf>
    <xf numFmtId="0" fontId="275" fillId="0" borderId="0" xfId="0" applyNumberFormat="1" applyFont="1" applyFill="1" applyBorder="1" applyAlignment="1"/>
    <xf numFmtId="192" fontId="274" fillId="0" borderId="0" xfId="1" applyNumberFormat="1" applyFont="1" applyFill="1" applyBorder="1" applyAlignment="1"/>
    <xf numFmtId="0" fontId="276" fillId="0" borderId="0" xfId="2" applyNumberFormat="1" applyFont="1" applyFill="1" applyBorder="1" applyAlignment="1"/>
    <xf numFmtId="0" fontId="79" fillId="0" borderId="0" xfId="0" applyFont="1" applyFill="1" applyBorder="1" applyAlignment="1"/>
    <xf numFmtId="194" fontId="81" fillId="0" borderId="0" xfId="0" applyNumberFormat="1" applyFont="1" applyFill="1" applyBorder="1"/>
    <xf numFmtId="0" fontId="81" fillId="0" borderId="0" xfId="0" applyFont="1"/>
    <xf numFmtId="0" fontId="27" fillId="2" borderId="0" xfId="8" applyFont="1" applyFill="1" applyAlignment="1">
      <alignment horizontal="right"/>
    </xf>
    <xf numFmtId="0" fontId="27" fillId="2" borderId="0" xfId="8" applyFont="1" applyFill="1" applyBorder="1" applyAlignment="1">
      <alignment horizontal="right"/>
    </xf>
    <xf numFmtId="2" fontId="46" fillId="9" borderId="8" xfId="8" applyNumberFormat="1" applyFont="1" applyFill="1" applyBorder="1" applyAlignment="1">
      <alignment horizontal="center" vertical="center" wrapText="1"/>
    </xf>
    <xf numFmtId="14" fontId="43" fillId="2" borderId="0" xfId="8" applyNumberFormat="1" applyFill="1"/>
    <xf numFmtId="204" fontId="43" fillId="2" borderId="8" xfId="8" applyNumberFormat="1" applyFill="1" applyBorder="1"/>
    <xf numFmtId="206" fontId="43" fillId="2" borderId="0" xfId="8" applyNumberFormat="1" applyFill="1"/>
    <xf numFmtId="2" fontId="93" fillId="0" borderId="0" xfId="0" applyNumberFormat="1" applyFont="1" applyFill="1" applyBorder="1"/>
    <xf numFmtId="202" fontId="73" fillId="9" borderId="8" xfId="8" applyNumberFormat="1" applyFont="1" applyFill="1" applyBorder="1" applyAlignment="1">
      <alignment horizontal="right" vertical="center" wrapText="1"/>
    </xf>
    <xf numFmtId="194" fontId="53" fillId="0" borderId="0" xfId="0" applyNumberFormat="1" applyFont="1" applyFill="1" applyBorder="1" applyAlignment="1">
      <alignment horizontal="center" vertical="center"/>
    </xf>
    <xf numFmtId="192" fontId="48" fillId="0" borderId="0" xfId="1" applyNumberFormat="1" applyFont="1" applyFill="1" applyBorder="1" applyAlignment="1">
      <alignment horizontal="center" vertical="center" wrapText="1"/>
    </xf>
    <xf numFmtId="1" fontId="45" fillId="2" borderId="0" xfId="8" applyNumberFormat="1" applyFont="1" applyFill="1" applyAlignment="1">
      <alignment horizontal="center"/>
    </xf>
    <xf numFmtId="10" fontId="43" fillId="9" borderId="84" xfId="8" applyNumberFormat="1" applyFill="1" applyBorder="1"/>
    <xf numFmtId="194" fontId="94" fillId="0" borderId="35" xfId="1" applyNumberFormat="1" applyFont="1" applyFill="1" applyBorder="1" applyAlignment="1">
      <alignment horizontal="right" vertical="center" wrapText="1"/>
    </xf>
    <xf numFmtId="194" fontId="95" fillId="0" borderId="35" xfId="1" applyNumberFormat="1" applyFont="1" applyFill="1" applyBorder="1" applyAlignment="1">
      <alignment horizontal="right" vertical="center" wrapText="1"/>
    </xf>
    <xf numFmtId="194" fontId="93" fillId="0" borderId="21" xfId="1" applyNumberFormat="1" applyFont="1" applyFill="1" applyBorder="1" applyAlignment="1">
      <alignment horizontal="center" vertical="top" wrapText="1"/>
    </xf>
    <xf numFmtId="191" fontId="222" fillId="28" borderId="10" xfId="0" applyNumberFormat="1" applyFont="1" applyFill="1" applyBorder="1"/>
    <xf numFmtId="194" fontId="78" fillId="40" borderId="8" xfId="1" applyNumberFormat="1" applyFont="1" applyFill="1" applyBorder="1" applyAlignment="1">
      <alignment horizontal="center" vertical="center" wrapText="1"/>
    </xf>
    <xf numFmtId="194" fontId="78" fillId="40" borderId="14" xfId="1" applyNumberFormat="1" applyFont="1" applyFill="1" applyBorder="1" applyAlignment="1">
      <alignment horizontal="center" vertical="center" wrapText="1"/>
    </xf>
    <xf numFmtId="2" fontId="45" fillId="2" borderId="0" xfId="8" applyNumberFormat="1" applyFont="1" applyFill="1" applyAlignment="1">
      <alignment horizontal="center"/>
    </xf>
    <xf numFmtId="200" fontId="78" fillId="0" borderId="0" xfId="1" applyNumberFormat="1" applyFont="1" applyBorder="1"/>
    <xf numFmtId="192" fontId="217" fillId="86" borderId="0" xfId="1" applyNumberFormat="1" applyFont="1" applyFill="1"/>
    <xf numFmtId="2" fontId="119" fillId="2" borderId="0" xfId="8" applyNumberFormat="1" applyFont="1" applyFill="1" applyAlignment="1">
      <alignment horizontal="center"/>
    </xf>
    <xf numFmtId="191" fontId="48" fillId="0" borderId="0" xfId="1" applyNumberFormat="1" applyFont="1" applyAlignment="1">
      <alignment vertical="center"/>
    </xf>
    <xf numFmtId="194" fontId="78" fillId="40" borderId="10" xfId="1" applyNumberFormat="1" applyFont="1" applyFill="1" applyBorder="1" applyAlignment="1">
      <alignment horizontal="right"/>
    </xf>
    <xf numFmtId="194" fontId="78" fillId="40" borderId="8" xfId="1" applyNumberFormat="1" applyFont="1" applyFill="1" applyBorder="1" applyAlignment="1">
      <alignment horizontal="right"/>
    </xf>
    <xf numFmtId="194" fontId="78" fillId="40" borderId="17" xfId="1" applyNumberFormat="1" applyFont="1" applyFill="1" applyBorder="1" applyAlignment="1">
      <alignment horizontal="center" vertical="center" wrapText="1"/>
    </xf>
    <xf numFmtId="194" fontId="78" fillId="40" borderId="2" xfId="1" applyNumberFormat="1" applyFont="1" applyFill="1" applyBorder="1" applyAlignment="1">
      <alignment horizontal="center" vertical="center" wrapText="1"/>
    </xf>
    <xf numFmtId="194" fontId="78" fillId="40" borderId="54" xfId="1" applyNumberFormat="1" applyFont="1" applyFill="1" applyBorder="1" applyAlignment="1">
      <alignment horizontal="center" vertical="center" wrapText="1"/>
    </xf>
    <xf numFmtId="194" fontId="78" fillId="40" borderId="7" xfId="1" applyNumberFormat="1" applyFont="1" applyFill="1" applyBorder="1" applyAlignment="1">
      <alignment horizontal="center" vertical="center" wrapText="1"/>
    </xf>
    <xf numFmtId="216" fontId="43" fillId="2" borderId="84" xfId="2" applyNumberFormat="1" applyFont="1" applyFill="1" applyBorder="1" applyAlignment="1">
      <alignment horizontal="center"/>
    </xf>
    <xf numFmtId="206" fontId="74" fillId="15" borderId="8" xfId="8" applyNumberFormat="1" applyFont="1" applyFill="1" applyBorder="1" applyAlignment="1">
      <alignment horizontal="center"/>
    </xf>
    <xf numFmtId="206" fontId="43" fillId="14" borderId="8" xfId="8" applyNumberFormat="1" applyFont="1" applyFill="1" applyBorder="1" applyAlignment="1">
      <alignment horizontal="center"/>
    </xf>
    <xf numFmtId="3" fontId="74" fillId="15" borderId="8" xfId="8" applyNumberFormat="1" applyFont="1" applyFill="1" applyBorder="1" applyAlignment="1">
      <alignment horizontal="center"/>
    </xf>
    <xf numFmtId="237" fontId="278" fillId="0" borderId="0" xfId="2454" applyFont="1"/>
    <xf numFmtId="237" fontId="48" fillId="0" borderId="0" xfId="2454"/>
    <xf numFmtId="237" fontId="278" fillId="80" borderId="83" xfId="2454" applyFont="1" applyFill="1" applyBorder="1"/>
    <xf numFmtId="237" fontId="48" fillId="80" borderId="1" xfId="2454" applyFill="1" applyBorder="1"/>
    <xf numFmtId="237" fontId="278" fillId="80" borderId="2" xfId="2454" applyFont="1" applyFill="1" applyBorder="1" applyAlignment="1">
      <alignment horizontal="center"/>
    </xf>
    <xf numFmtId="237" fontId="278" fillId="0" borderId="0" xfId="2454" applyFont="1" applyAlignment="1">
      <alignment horizontal="center"/>
    </xf>
    <xf numFmtId="237" fontId="48" fillId="80" borderId="0" xfId="2454" applyFill="1" applyBorder="1"/>
    <xf numFmtId="43" fontId="0" fillId="80" borderId="4" xfId="1" applyFont="1" applyFill="1" applyBorder="1"/>
    <xf numFmtId="43" fontId="0" fillId="0" borderId="0" xfId="1" applyFont="1"/>
    <xf numFmtId="237" fontId="48" fillId="0" borderId="3" xfId="2454" applyFill="1" applyBorder="1"/>
    <xf numFmtId="237" fontId="48" fillId="0" borderId="0" xfId="2454" applyFill="1" applyBorder="1"/>
    <xf numFmtId="43" fontId="0" fillId="0" borderId="4" xfId="1" applyFont="1" applyFill="1" applyBorder="1"/>
    <xf numFmtId="237" fontId="81" fillId="80" borderId="11" xfId="2454" applyFont="1" applyFill="1" applyBorder="1"/>
    <xf numFmtId="237" fontId="81" fillId="80" borderId="13" xfId="2454" applyFont="1" applyFill="1" applyBorder="1"/>
    <xf numFmtId="43" fontId="81" fillId="80" borderId="14" xfId="1" applyFont="1" applyFill="1" applyBorder="1"/>
    <xf numFmtId="43" fontId="81" fillId="0" borderId="0" xfId="1" applyFont="1"/>
    <xf numFmtId="43" fontId="81" fillId="0" borderId="0" xfId="1" applyFont="1" applyBorder="1"/>
    <xf numFmtId="237" fontId="81" fillId="0" borderId="0" xfId="2454" applyFont="1"/>
    <xf numFmtId="237" fontId="48" fillId="0" borderId="13" xfId="2454" applyBorder="1"/>
    <xf numFmtId="43" fontId="0" fillId="88" borderId="0" xfId="1" applyFont="1" applyFill="1" applyBorder="1"/>
    <xf numFmtId="237" fontId="279" fillId="83" borderId="84" xfId="2454" applyFont="1" applyFill="1" applyBorder="1" applyAlignment="1">
      <alignment horizontal="center"/>
    </xf>
    <xf numFmtId="237" fontId="278" fillId="0" borderId="3" xfId="2454" applyFont="1" applyBorder="1"/>
    <xf numFmtId="237" fontId="81" fillId="0" borderId="0" xfId="2454" applyFont="1" applyBorder="1"/>
    <xf numFmtId="237" fontId="48" fillId="0" borderId="0" xfId="2454" applyBorder="1"/>
    <xf numFmtId="237" fontId="278" fillId="0" borderId="3" xfId="2454" applyFont="1" applyBorder="1" applyAlignment="1">
      <alignment horizontal="center"/>
    </xf>
    <xf numFmtId="237" fontId="278" fillId="0" borderId="12" xfId="2454" applyFont="1" applyBorder="1" applyAlignment="1">
      <alignment horizontal="center"/>
    </xf>
    <xf numFmtId="237" fontId="0" fillId="0" borderId="106" xfId="2454" applyFont="1" applyBorder="1"/>
    <xf numFmtId="237" fontId="0" fillId="0" borderId="107" xfId="2454" applyFont="1" applyBorder="1"/>
    <xf numFmtId="192" fontId="48" fillId="0" borderId="106" xfId="1" applyNumberFormat="1" applyFont="1" applyBorder="1"/>
    <xf numFmtId="192" fontId="48" fillId="88" borderId="0" xfId="1" applyNumberFormat="1" applyFont="1" applyFill="1" applyBorder="1"/>
    <xf numFmtId="247" fontId="48" fillId="0" borderId="109" xfId="1" applyNumberFormat="1" applyFont="1" applyBorder="1"/>
    <xf numFmtId="237" fontId="0" fillId="0" borderId="0" xfId="2454" applyFont="1"/>
    <xf numFmtId="237" fontId="81" fillId="0" borderId="106" xfId="2454" applyFont="1" applyBorder="1"/>
    <xf numFmtId="237" fontId="81" fillId="0" borderId="107" xfId="2454" applyFont="1" applyBorder="1"/>
    <xf numFmtId="192" fontId="81" fillId="0" borderId="106" xfId="1" applyNumberFormat="1" applyFont="1" applyBorder="1"/>
    <xf numFmtId="192" fontId="81" fillId="88" borderId="0" xfId="1" applyNumberFormat="1" applyFont="1" applyFill="1" applyBorder="1"/>
    <xf numFmtId="237" fontId="48" fillId="0" borderId="107" xfId="2454" applyBorder="1"/>
    <xf numFmtId="237" fontId="48" fillId="0" borderId="108" xfId="2454" applyBorder="1"/>
    <xf numFmtId="247" fontId="81" fillId="0" borderId="109" xfId="1" applyNumberFormat="1" applyFont="1" applyBorder="1"/>
    <xf numFmtId="237" fontId="48" fillId="0" borderId="11" xfId="2454" applyBorder="1"/>
    <xf numFmtId="43" fontId="0" fillId="0" borderId="11" xfId="1" applyFont="1" applyBorder="1"/>
    <xf numFmtId="43" fontId="0" fillId="0" borderId="10" xfId="1" applyFont="1" applyBorder="1"/>
    <xf numFmtId="43" fontId="0" fillId="88" borderId="13" xfId="1" applyFont="1" applyFill="1" applyBorder="1"/>
    <xf numFmtId="237" fontId="0" fillId="80" borderId="3" xfId="2454" applyFont="1" applyFill="1" applyBorder="1"/>
    <xf numFmtId="237" fontId="0" fillId="0" borderId="3" xfId="2454" applyFont="1" applyFill="1" applyBorder="1"/>
    <xf numFmtId="237" fontId="81" fillId="87" borderId="86" xfId="2454" applyFont="1" applyFill="1" applyBorder="1" applyAlignment="1">
      <alignment horizontal="center"/>
    </xf>
    <xf numFmtId="237" fontId="81" fillId="36" borderId="86" xfId="2454" applyFont="1" applyFill="1" applyBorder="1" applyAlignment="1">
      <alignment horizontal="center"/>
    </xf>
    <xf numFmtId="194" fontId="93" fillId="17" borderId="63" xfId="1" applyNumberFormat="1" applyFont="1" applyFill="1" applyBorder="1" applyAlignment="1">
      <alignment horizontal="center"/>
    </xf>
    <xf numFmtId="194" fontId="93" fillId="21" borderId="34" xfId="1" applyNumberFormat="1" applyFont="1" applyFill="1" applyBorder="1" applyAlignment="1">
      <alignment horizontal="center" vertical="center" wrapText="1"/>
    </xf>
    <xf numFmtId="194" fontId="93" fillId="0" borderId="34" xfId="1" applyNumberFormat="1" applyFont="1" applyFill="1" applyBorder="1" applyAlignment="1">
      <alignment horizontal="center"/>
    </xf>
    <xf numFmtId="0" fontId="43" fillId="0" borderId="0" xfId="8" applyNumberFormat="1" applyFill="1"/>
    <xf numFmtId="194" fontId="0" fillId="0" borderId="0" xfId="0" applyNumberFormat="1" applyFill="1"/>
    <xf numFmtId="194" fontId="53" fillId="0" borderId="0" xfId="0" applyNumberFormat="1" applyFont="1" applyFill="1" applyBorder="1" applyAlignment="1">
      <alignment horizontal="right" vertical="center"/>
    </xf>
    <xf numFmtId="194" fontId="78" fillId="39" borderId="7" xfId="1" applyNumberFormat="1" applyFont="1" applyFill="1" applyBorder="1" applyAlignment="1">
      <alignment horizontal="center"/>
    </xf>
    <xf numFmtId="194" fontId="78" fillId="39" borderId="8" xfId="1" applyNumberFormat="1" applyFont="1" applyFill="1" applyBorder="1" applyAlignment="1">
      <alignment horizontal="center"/>
    </xf>
    <xf numFmtId="194" fontId="78" fillId="39" borderId="2" xfId="1" applyNumberFormat="1" applyFont="1" applyFill="1" applyBorder="1" applyAlignment="1">
      <alignment horizontal="center"/>
    </xf>
    <xf numFmtId="194" fontId="24" fillId="15" borderId="8" xfId="8" applyNumberFormat="1" applyFont="1" applyFill="1" applyBorder="1" applyAlignment="1">
      <alignment horizontal="center"/>
    </xf>
    <xf numFmtId="0" fontId="78" fillId="0" borderId="0" xfId="0" quotePrefix="1" applyFont="1" applyBorder="1"/>
    <xf numFmtId="194" fontId="93" fillId="21" borderId="24" xfId="1" applyNumberFormat="1" applyFont="1" applyFill="1" applyBorder="1" applyAlignment="1">
      <alignment horizontal="center"/>
    </xf>
    <xf numFmtId="3" fontId="0" fillId="0" borderId="0" xfId="0" applyNumberFormat="1" applyAlignment="1">
      <alignment wrapText="1"/>
    </xf>
    <xf numFmtId="0" fontId="43" fillId="0" borderId="0" xfId="8" applyFont="1" applyFill="1" applyBorder="1"/>
    <xf numFmtId="191" fontId="46" fillId="0" borderId="0" xfId="8" applyNumberFormat="1" applyFont="1" applyFill="1" applyBorder="1"/>
    <xf numFmtId="0" fontId="0" fillId="0" borderId="0" xfId="0" applyFill="1" applyBorder="1" applyAlignment="1">
      <alignment wrapText="1"/>
    </xf>
    <xf numFmtId="3" fontId="243" fillId="0" borderId="0" xfId="8" quotePrefix="1" applyNumberFormat="1" applyFont="1" applyFill="1" applyBorder="1" applyAlignment="1"/>
    <xf numFmtId="2" fontId="46" fillId="9" borderId="8" xfId="8" applyNumberFormat="1" applyFont="1" applyFill="1" applyBorder="1" applyAlignment="1">
      <alignment horizontal="center" vertical="center" wrapText="1"/>
    </xf>
    <xf numFmtId="1" fontId="43" fillId="12" borderId="0" xfId="8" applyNumberFormat="1" applyFill="1" applyAlignment="1">
      <alignment horizontal="center"/>
    </xf>
    <xf numFmtId="1" fontId="45" fillId="2" borderId="0" xfId="8" applyNumberFormat="1" applyFont="1" applyFill="1"/>
    <xf numFmtId="0" fontId="24" fillId="2" borderId="0" xfId="8" applyFont="1" applyFill="1"/>
    <xf numFmtId="10" fontId="74" fillId="9" borderId="8" xfId="8" applyNumberFormat="1" applyFont="1" applyFill="1" applyBorder="1"/>
    <xf numFmtId="10" fontId="74" fillId="9" borderId="84" xfId="8" applyNumberFormat="1" applyFont="1" applyFill="1" applyBorder="1"/>
    <xf numFmtId="199" fontId="74" fillId="9" borderId="8" xfId="1" applyNumberFormat="1" applyFont="1" applyFill="1" applyBorder="1" applyAlignment="1">
      <alignment horizontal="right"/>
    </xf>
    <xf numFmtId="10" fontId="61" fillId="9" borderId="84" xfId="8" applyNumberFormat="1" applyFont="1" applyFill="1" applyBorder="1"/>
    <xf numFmtId="10" fontId="147" fillId="9" borderId="84" xfId="8" applyNumberFormat="1" applyFont="1" applyFill="1" applyBorder="1"/>
    <xf numFmtId="0" fontId="312" fillId="2" borderId="0" xfId="8" applyFont="1" applyFill="1"/>
    <xf numFmtId="0" fontId="313" fillId="0" borderId="0" xfId="0" applyFont="1"/>
    <xf numFmtId="0" fontId="314" fillId="0" borderId="0" xfId="0" applyFont="1"/>
    <xf numFmtId="17" fontId="315" fillId="0" borderId="0" xfId="0" applyNumberFormat="1" applyFont="1" applyFill="1" applyBorder="1" applyAlignment="1">
      <alignment horizontal="center" vertical="center"/>
    </xf>
    <xf numFmtId="3" fontId="315" fillId="0" borderId="0" xfId="0" applyNumberFormat="1" applyFont="1" applyFill="1" applyBorder="1" applyAlignment="1">
      <alignment horizontal="center" vertical="center"/>
    </xf>
    <xf numFmtId="197" fontId="316" fillId="0" borderId="0" xfId="0" applyNumberFormat="1" applyFont="1" applyFill="1" applyBorder="1" applyAlignment="1">
      <alignment horizontal="center" vertical="center"/>
    </xf>
    <xf numFmtId="216" fontId="147" fillId="26" borderId="84" xfId="2" applyNumberFormat="1" applyFont="1" applyFill="1" applyBorder="1" applyAlignment="1">
      <alignment horizontal="center"/>
    </xf>
    <xf numFmtId="192" fontId="94" fillId="0" borderId="15" xfId="1" applyNumberFormat="1" applyFont="1" applyFill="1" applyBorder="1" applyAlignment="1">
      <alignment horizontal="center" vertical="center" wrapText="1"/>
    </xf>
    <xf numFmtId="256" fontId="43" fillId="2" borderId="0" xfId="8" applyNumberFormat="1" applyFill="1" applyBorder="1"/>
    <xf numFmtId="204" fontId="43" fillId="2" borderId="0" xfId="8" applyNumberFormat="1" applyFill="1" applyBorder="1"/>
    <xf numFmtId="257" fontId="44" fillId="13" borderId="8" xfId="8" applyNumberFormat="1" applyFont="1" applyFill="1" applyBorder="1" applyAlignment="1">
      <alignment horizontal="center" vertical="center" wrapText="1"/>
    </xf>
    <xf numFmtId="43" fontId="78" fillId="0" borderId="0" xfId="0" applyNumberFormat="1" applyFont="1" applyBorder="1"/>
    <xf numFmtId="258" fontId="0" fillId="0" borderId="0" xfId="0" applyNumberFormat="1"/>
    <xf numFmtId="191" fontId="74" fillId="9" borderId="8" xfId="8" applyNumberFormat="1" applyFont="1" applyFill="1" applyBorder="1" applyAlignment="1">
      <alignment horizontal="center"/>
    </xf>
    <xf numFmtId="198" fontId="43" fillId="90" borderId="8" xfId="1" applyNumberFormat="1" applyFont="1" applyFill="1" applyBorder="1" applyAlignment="1">
      <alignment horizontal="center"/>
    </xf>
    <xf numFmtId="195" fontId="78" fillId="72" borderId="8" xfId="1" applyNumberFormat="1" applyFont="1" applyFill="1" applyBorder="1" applyAlignment="1"/>
    <xf numFmtId="195" fontId="78" fillId="72" borderId="7" xfId="1" applyNumberFormat="1" applyFont="1" applyFill="1" applyBorder="1" applyAlignment="1"/>
    <xf numFmtId="194" fontId="78" fillId="72" borderId="8" xfId="1" applyNumberFormat="1" applyFont="1" applyFill="1" applyBorder="1" applyAlignment="1"/>
    <xf numFmtId="191" fontId="53" fillId="5" borderId="84" xfId="0" applyNumberFormat="1" applyFont="1" applyFill="1" applyBorder="1" applyAlignment="1">
      <alignment horizontal="center" vertical="center"/>
    </xf>
    <xf numFmtId="192" fontId="144" fillId="2" borderId="0" xfId="0" applyNumberFormat="1" applyFont="1" applyFill="1" applyBorder="1" applyAlignment="1">
      <alignment vertical="center"/>
    </xf>
    <xf numFmtId="43" fontId="0" fillId="0" borderId="0" xfId="1" applyNumberFormat="1" applyFont="1" applyBorder="1"/>
    <xf numFmtId="192" fontId="78" fillId="91" borderId="58" xfId="1" applyNumberFormat="1" applyFont="1" applyFill="1" applyBorder="1" applyAlignment="1">
      <alignment horizontal="center" vertical="center" wrapText="1"/>
    </xf>
    <xf numFmtId="192" fontId="94" fillId="91" borderId="49" xfId="1" applyNumberFormat="1" applyFont="1" applyFill="1" applyBorder="1" applyAlignment="1">
      <alignment horizontal="center" vertical="center" wrapText="1"/>
    </xf>
    <xf numFmtId="192" fontId="78" fillId="91" borderId="49" xfId="1" applyNumberFormat="1" applyFont="1" applyFill="1" applyBorder="1" applyAlignment="1">
      <alignment horizontal="center" vertical="center" wrapText="1"/>
    </xf>
    <xf numFmtId="43" fontId="52" fillId="2" borderId="0" xfId="0" applyNumberFormat="1" applyFont="1" applyFill="1" applyBorder="1" applyAlignment="1">
      <alignment vertical="center"/>
    </xf>
    <xf numFmtId="43" fontId="93" fillId="0" borderId="0" xfId="0" applyNumberFormat="1" applyFont="1"/>
    <xf numFmtId="195" fontId="78" fillId="14" borderId="9" xfId="1" applyNumberFormat="1" applyFont="1" applyFill="1" applyBorder="1" applyAlignment="1"/>
    <xf numFmtId="195" fontId="78" fillId="14" borderId="8" xfId="1" applyNumberFormat="1" applyFont="1" applyFill="1" applyBorder="1" applyAlignment="1">
      <alignment vertical="center"/>
    </xf>
    <xf numFmtId="195" fontId="78" fillId="14" borderId="9" xfId="1" applyNumberFormat="1" applyFont="1" applyFill="1" applyBorder="1" applyAlignment="1">
      <alignment vertical="center"/>
    </xf>
    <xf numFmtId="195" fontId="78" fillId="14" borderId="5" xfId="1" applyNumberFormat="1" applyFont="1" applyFill="1" applyBorder="1" applyAlignment="1"/>
    <xf numFmtId="0" fontId="116" fillId="0" borderId="0" xfId="0" applyFont="1" applyFill="1" applyBorder="1"/>
    <xf numFmtId="0" fontId="116" fillId="0" borderId="0" xfId="0" applyFont="1" applyFill="1" applyBorder="1" applyAlignment="1">
      <alignment horizontal="right"/>
    </xf>
    <xf numFmtId="0" fontId="116" fillId="0" borderId="0" xfId="0" applyFont="1" applyFill="1"/>
    <xf numFmtId="0" fontId="116" fillId="0" borderId="120" xfId="0" applyFont="1" applyFill="1" applyBorder="1"/>
    <xf numFmtId="0" fontId="116" fillId="0" borderId="121" xfId="0" applyFont="1" applyFill="1" applyBorder="1"/>
    <xf numFmtId="193" fontId="78" fillId="0" borderId="13" xfId="0" applyNumberFormat="1" applyFont="1" applyBorder="1"/>
    <xf numFmtId="192" fontId="127" fillId="15" borderId="50" xfId="1" applyNumberFormat="1" applyFont="1" applyFill="1" applyBorder="1"/>
    <xf numFmtId="191" fontId="24" fillId="9" borderId="8" xfId="8" applyNumberFormat="1" applyFont="1" applyFill="1" applyBorder="1" applyAlignment="1">
      <alignment horizontal="center"/>
    </xf>
    <xf numFmtId="191" fontId="73" fillId="2" borderId="8" xfId="8" applyNumberFormat="1" applyFont="1" applyFill="1" applyBorder="1" applyAlignment="1">
      <alignment horizontal="center"/>
    </xf>
    <xf numFmtId="191" fontId="74" fillId="2" borderId="8" xfId="8" applyNumberFormat="1" applyFont="1" applyFill="1" applyBorder="1" applyAlignment="1">
      <alignment horizontal="center"/>
    </xf>
    <xf numFmtId="191" fontId="43" fillId="2" borderId="8" xfId="8" applyNumberFormat="1" applyFill="1" applyBorder="1" applyAlignment="1">
      <alignment horizontal="center"/>
    </xf>
    <xf numFmtId="191" fontId="73" fillId="14" borderId="8" xfId="8" applyNumberFormat="1" applyFont="1" applyFill="1" applyBorder="1" applyAlignment="1">
      <alignment horizontal="center"/>
    </xf>
    <xf numFmtId="192" fontId="276" fillId="0" borderId="0" xfId="2" applyNumberFormat="1" applyFont="1" applyFill="1" applyBorder="1" applyAlignment="1"/>
    <xf numFmtId="191" fontId="318" fillId="0" borderId="0" xfId="0" applyNumberFormat="1" applyFont="1" applyFill="1" applyBorder="1" applyAlignment="1">
      <alignment vertical="center"/>
    </xf>
    <xf numFmtId="194" fontId="318" fillId="0" borderId="0" xfId="0" applyNumberFormat="1" applyFont="1" applyFill="1" applyBorder="1" applyAlignment="1">
      <alignment horizontal="center" vertical="center"/>
    </xf>
    <xf numFmtId="0" fontId="318" fillId="0" borderId="0" xfId="0" applyFont="1" applyFill="1" applyBorder="1" applyAlignment="1">
      <alignment horizontal="center" vertical="center"/>
    </xf>
    <xf numFmtId="0" fontId="53" fillId="0" borderId="0" xfId="0" applyFont="1" applyFill="1" applyBorder="1" applyAlignment="1">
      <alignment horizontal="right" vertical="center"/>
    </xf>
    <xf numFmtId="193" fontId="53" fillId="0" borderId="0" xfId="0" applyNumberFormat="1" applyFont="1" applyFill="1" applyBorder="1" applyAlignment="1">
      <alignment horizontal="left" vertical="center"/>
    </xf>
    <xf numFmtId="0" fontId="53" fillId="0" borderId="0" xfId="0" applyFont="1" applyFill="1" applyBorder="1" applyAlignment="1">
      <alignment horizontal="left" vertical="center"/>
    </xf>
    <xf numFmtId="192" fontId="79" fillId="21" borderId="56" xfId="1" applyNumberFormat="1" applyFont="1" applyFill="1" applyBorder="1" applyAlignment="1">
      <alignment horizontal="center" vertical="center" wrapText="1"/>
    </xf>
    <xf numFmtId="191" fontId="24" fillId="2" borderId="8" xfId="8" applyNumberFormat="1" applyFont="1" applyFill="1" applyBorder="1"/>
    <xf numFmtId="192" fontId="78" fillId="31" borderId="13" xfId="1" applyNumberFormat="1" applyFont="1" applyFill="1" applyBorder="1" applyAlignment="1">
      <alignment horizontal="center" vertical="center" wrapText="1"/>
    </xf>
    <xf numFmtId="192" fontId="79" fillId="31" borderId="56" xfId="1" applyNumberFormat="1" applyFont="1" applyFill="1" applyBorder="1" applyAlignment="1">
      <alignment horizontal="center" vertical="center" wrapText="1"/>
    </xf>
    <xf numFmtId="212" fontId="315" fillId="0" borderId="0" xfId="0" applyNumberFormat="1" applyFont="1" applyBorder="1" applyAlignment="1">
      <alignment horizontal="left"/>
    </xf>
    <xf numFmtId="0" fontId="279" fillId="0" borderId="0" xfId="0" applyFont="1" applyBorder="1"/>
    <xf numFmtId="1" fontId="315" fillId="0" borderId="0" xfId="0" applyNumberFormat="1" applyFont="1" applyFill="1" applyBorder="1" applyAlignment="1">
      <alignment vertical="center"/>
    </xf>
    <xf numFmtId="191" fontId="315" fillId="0" borderId="0" xfId="0" applyNumberFormat="1" applyFont="1" applyFill="1" applyBorder="1" applyAlignment="1">
      <alignment horizontal="center" vertical="center" wrapText="1"/>
    </xf>
    <xf numFmtId="0" fontId="279" fillId="2" borderId="0" xfId="0" applyFont="1" applyFill="1" applyBorder="1" applyAlignment="1">
      <alignment vertical="center"/>
    </xf>
    <xf numFmtId="213" fontId="315" fillId="0" borderId="0" xfId="0" applyNumberFormat="1" applyFont="1" applyFill="1" applyBorder="1" applyAlignment="1">
      <alignment horizontal="left" vertical="center"/>
    </xf>
    <xf numFmtId="197" fontId="315" fillId="0" borderId="0" xfId="0" applyNumberFormat="1" applyFont="1" applyFill="1" applyBorder="1" applyAlignment="1">
      <alignment horizontal="center" vertical="center"/>
    </xf>
    <xf numFmtId="0" fontId="279" fillId="0" borderId="125" xfId="0" applyFont="1" applyBorder="1"/>
    <xf numFmtId="0" fontId="279" fillId="0" borderId="126" xfId="0" applyFont="1" applyBorder="1"/>
    <xf numFmtId="1" fontId="315" fillId="0" borderId="125" xfId="0" applyNumberFormat="1" applyFont="1" applyFill="1" applyBorder="1" applyAlignment="1">
      <alignment vertical="center"/>
    </xf>
    <xf numFmtId="213" fontId="315" fillId="0" borderId="125" xfId="0" applyNumberFormat="1" applyFont="1" applyFill="1" applyBorder="1" applyAlignment="1">
      <alignment horizontal="center" vertical="center"/>
    </xf>
    <xf numFmtId="213" fontId="315" fillId="0" borderId="125" xfId="0" applyNumberFormat="1" applyFont="1" applyFill="1" applyBorder="1" applyAlignment="1">
      <alignment horizontal="left" vertical="center"/>
    </xf>
    <xf numFmtId="257" fontId="241" fillId="2" borderId="0" xfId="8" applyNumberFormat="1" applyFont="1" applyFill="1"/>
    <xf numFmtId="3" fontId="43" fillId="14" borderId="0" xfId="8" applyNumberFormat="1" applyFont="1" applyFill="1" applyBorder="1" applyAlignment="1">
      <alignment horizontal="right"/>
    </xf>
    <xf numFmtId="197" fontId="43" fillId="9" borderId="0" xfId="1" applyNumberFormat="1" applyFont="1" applyFill="1" applyBorder="1"/>
    <xf numFmtId="43" fontId="78" fillId="0" borderId="0" xfId="0" applyNumberFormat="1" applyFont="1"/>
    <xf numFmtId="192" fontId="78" fillId="0" borderId="0" xfId="0" applyNumberFormat="1" applyFont="1"/>
    <xf numFmtId="10" fontId="0" fillId="0" borderId="0" xfId="0" applyNumberFormat="1" applyFill="1" applyBorder="1"/>
    <xf numFmtId="194" fontId="74" fillId="14" borderId="8" xfId="8" applyNumberFormat="1" applyFont="1" applyFill="1" applyBorder="1" applyAlignment="1">
      <alignment horizontal="center"/>
    </xf>
    <xf numFmtId="0" fontId="24" fillId="2" borderId="0" xfId="8" applyFont="1" applyFill="1" applyBorder="1" applyAlignment="1">
      <alignment horizontal="right"/>
    </xf>
    <xf numFmtId="259" fontId="78" fillId="0" borderId="0" xfId="2" applyNumberFormat="1" applyFont="1" applyFill="1" applyBorder="1"/>
    <xf numFmtId="205" fontId="50" fillId="0" borderId="0" xfId="1" applyNumberFormat="1" applyFont="1" applyFill="1" applyBorder="1" applyAlignment="1">
      <alignment horizontal="right" vertical="center"/>
    </xf>
    <xf numFmtId="205" fontId="0" fillId="0" borderId="0" xfId="0" applyNumberFormat="1"/>
    <xf numFmtId="205" fontId="46" fillId="9" borderId="8" xfId="8" applyNumberFormat="1" applyFont="1" applyFill="1" applyBorder="1" applyAlignment="1">
      <alignment horizontal="center" vertical="center" wrapText="1"/>
    </xf>
    <xf numFmtId="205" fontId="73" fillId="9" borderId="8" xfId="8" applyNumberFormat="1" applyFont="1" applyFill="1" applyBorder="1" applyAlignment="1">
      <alignment horizontal="right" vertical="center" wrapText="1"/>
    </xf>
    <xf numFmtId="0" fontId="50" fillId="0" borderId="0" xfId="0" applyNumberFormat="1" applyFont="1" applyFill="1" applyBorder="1" applyAlignment="1">
      <alignment horizontal="right"/>
    </xf>
    <xf numFmtId="0" fontId="114" fillId="69" borderId="84" xfId="0" applyFont="1" applyFill="1" applyBorder="1"/>
    <xf numFmtId="0" fontId="117" fillId="69" borderId="84" xfId="0" applyFont="1" applyFill="1" applyBorder="1"/>
    <xf numFmtId="9" fontId="78" fillId="0" borderId="0" xfId="2" applyFont="1"/>
    <xf numFmtId="0" fontId="319" fillId="2" borderId="8" xfId="8" applyFont="1" applyFill="1" applyBorder="1" applyAlignment="1">
      <alignment horizontal="right"/>
    </xf>
    <xf numFmtId="192" fontId="110" fillId="15" borderId="84" xfId="0" applyNumberFormat="1" applyFont="1" applyFill="1" applyBorder="1"/>
    <xf numFmtId="0" fontId="110" fillId="15" borderId="84" xfId="0" applyFont="1" applyFill="1" applyBorder="1"/>
    <xf numFmtId="43" fontId="110" fillId="15" borderId="84" xfId="0" applyNumberFormat="1" applyFont="1" applyFill="1" applyBorder="1"/>
    <xf numFmtId="0" fontId="113" fillId="15" borderId="90" xfId="0" applyFont="1" applyFill="1" applyBorder="1"/>
    <xf numFmtId="2" fontId="78" fillId="0" borderId="0" xfId="2" applyNumberFormat="1" applyFont="1"/>
    <xf numFmtId="216" fontId="74" fillId="2" borderId="84" xfId="2" applyNumberFormat="1" applyFont="1" applyFill="1" applyBorder="1" applyAlignment="1">
      <alignment horizontal="center"/>
    </xf>
    <xf numFmtId="0" fontId="93" fillId="0" borderId="0" xfId="0" applyFont="1" applyBorder="1"/>
    <xf numFmtId="1" fontId="0" fillId="0" borderId="0" xfId="0" applyNumberFormat="1" applyFont="1"/>
    <xf numFmtId="1" fontId="24" fillId="2" borderId="0" xfId="8" applyNumberFormat="1" applyFont="1" applyFill="1" applyBorder="1"/>
    <xf numFmtId="202" fontId="24" fillId="2" borderId="0" xfId="8" applyNumberFormat="1" applyFont="1" applyFill="1" applyBorder="1"/>
    <xf numFmtId="3" fontId="0" fillId="0" borderId="0" xfId="0" applyNumberFormat="1" applyFont="1"/>
    <xf numFmtId="3" fontId="0" fillId="0" borderId="0" xfId="0" applyNumberFormat="1" applyFont="1" applyAlignment="1">
      <alignment wrapText="1"/>
    </xf>
    <xf numFmtId="20" fontId="0" fillId="0" borderId="0" xfId="0" applyNumberFormat="1" applyFont="1" applyBorder="1"/>
    <xf numFmtId="0" fontId="0" fillId="0" borderId="0" xfId="0" applyFont="1" applyBorder="1"/>
    <xf numFmtId="2" fontId="0" fillId="0" borderId="0" xfId="0" applyNumberFormat="1" applyFont="1" applyBorder="1"/>
    <xf numFmtId="14" fontId="0" fillId="0" borderId="0" xfId="0" applyNumberFormat="1" applyFont="1" applyBorder="1"/>
    <xf numFmtId="0" fontId="0" fillId="0" borderId="0" xfId="0" applyNumberFormat="1" applyFont="1" applyBorder="1"/>
    <xf numFmtId="205" fontId="0" fillId="0" borderId="0" xfId="0" applyNumberFormat="1" applyFont="1" applyBorder="1"/>
    <xf numFmtId="0" fontId="50" fillId="0" borderId="0" xfId="1" applyNumberFormat="1" applyFont="1" applyFill="1" applyBorder="1" applyAlignment="1">
      <alignment horizontal="right" vertical="center" wrapText="1"/>
    </xf>
    <xf numFmtId="205" fontId="24" fillId="0" borderId="0" xfId="8" applyNumberFormat="1" applyFont="1" applyFill="1" applyBorder="1"/>
    <xf numFmtId="205" fontId="0" fillId="0" borderId="0" xfId="0" applyNumberFormat="1" applyFont="1"/>
    <xf numFmtId="0" fontId="0" fillId="0" borderId="0" xfId="0" applyNumberFormat="1" applyFont="1"/>
    <xf numFmtId="205" fontId="24" fillId="2" borderId="0" xfId="8" applyNumberFormat="1" applyFont="1" applyFill="1"/>
    <xf numFmtId="194" fontId="93" fillId="0" borderId="62" xfId="1" applyNumberFormat="1" applyFont="1" applyFill="1" applyBorder="1" applyAlignment="1">
      <alignment horizontal="right" vertical="center" wrapText="1"/>
    </xf>
    <xf numFmtId="194" fontId="78" fillId="15" borderId="94" xfId="1" applyNumberFormat="1" applyFont="1" applyFill="1" applyBorder="1" applyAlignment="1">
      <alignment horizontal="right" vertical="center" wrapText="1"/>
    </xf>
    <xf numFmtId="194" fontId="78" fillId="15" borderId="27" xfId="1" applyNumberFormat="1" applyFont="1" applyFill="1" applyBorder="1" applyAlignment="1">
      <alignment horizontal="right" vertical="center" wrapText="1"/>
    </xf>
    <xf numFmtId="192" fontId="320" fillId="0" borderId="56" xfId="1" applyNumberFormat="1" applyFont="1" applyFill="1" applyBorder="1" applyAlignment="1">
      <alignment horizontal="center" vertical="center" wrapText="1"/>
    </xf>
    <xf numFmtId="191" fontId="315" fillId="0" borderId="0" xfId="0" applyNumberFormat="1" applyFont="1" applyFill="1" applyBorder="1" applyAlignment="1">
      <alignment horizontal="center" vertical="center"/>
    </xf>
    <xf numFmtId="216" fontId="48" fillId="0" borderId="0" xfId="2" applyNumberFormat="1" applyFont="1"/>
    <xf numFmtId="192" fontId="56" fillId="26" borderId="88" xfId="1" applyNumberFormat="1" applyFont="1" applyFill="1" applyBorder="1" applyAlignment="1" applyProtection="1">
      <alignment horizontal="center" vertical="center" wrapText="1"/>
      <protection locked="0"/>
    </xf>
    <xf numFmtId="192" fontId="48" fillId="26" borderId="81" xfId="1" applyNumberFormat="1" applyFont="1" applyFill="1" applyBorder="1" applyAlignment="1" applyProtection="1">
      <alignment horizontal="center" vertical="center" wrapText="1"/>
      <protection locked="0"/>
    </xf>
    <xf numFmtId="192" fontId="78" fillId="26" borderId="88" xfId="1" applyNumberFormat="1" applyFont="1" applyFill="1" applyBorder="1" applyAlignment="1" applyProtection="1">
      <alignment horizontal="center" vertical="center" wrapText="1"/>
      <protection locked="0"/>
    </xf>
    <xf numFmtId="194" fontId="78" fillId="0" borderId="96" xfId="1" applyNumberFormat="1" applyFont="1" applyFill="1" applyBorder="1" applyAlignment="1" applyProtection="1">
      <alignment horizontal="right" vertical="center" wrapText="1"/>
      <protection locked="0"/>
    </xf>
    <xf numFmtId="192" fontId="78" fillId="0" borderId="58" xfId="1" applyNumberFormat="1" applyFont="1" applyFill="1" applyBorder="1" applyAlignment="1" applyProtection="1">
      <alignment horizontal="center" vertical="center" wrapText="1"/>
    </xf>
    <xf numFmtId="192" fontId="78" fillId="0" borderId="26" xfId="1" applyNumberFormat="1" applyFont="1" applyFill="1" applyBorder="1" applyAlignment="1" applyProtection="1">
      <alignment horizontal="center" vertical="center" wrapText="1"/>
    </xf>
    <xf numFmtId="194" fontId="0" fillId="0" borderId="94" xfId="0" applyNumberFormat="1" applyBorder="1" applyProtection="1"/>
    <xf numFmtId="194" fontId="81" fillId="0" borderId="96" xfId="1" applyNumberFormat="1" applyFont="1" applyFill="1" applyBorder="1" applyAlignment="1" applyProtection="1">
      <alignment horizontal="right" vertical="center" wrapText="1"/>
    </xf>
    <xf numFmtId="194" fontId="78" fillId="0" borderId="94" xfId="0" applyNumberFormat="1" applyFont="1" applyBorder="1" applyProtection="1"/>
    <xf numFmtId="192" fontId="52" fillId="2" borderId="0" xfId="0" applyNumberFormat="1" applyFont="1" applyFill="1" applyBorder="1" applyAlignment="1">
      <alignment vertical="center"/>
    </xf>
    <xf numFmtId="193" fontId="55" fillId="0" borderId="10" xfId="0" applyNumberFormat="1" applyFont="1" applyFill="1" applyBorder="1" applyAlignment="1">
      <alignment horizontal="right" vertical="center"/>
    </xf>
    <xf numFmtId="193" fontId="55" fillId="0" borderId="84" xfId="0" applyNumberFormat="1" applyFont="1" applyFill="1" applyBorder="1" applyAlignment="1">
      <alignment horizontal="right" vertical="center"/>
    </xf>
    <xf numFmtId="240" fontId="52" fillId="2" borderId="0" xfId="0" applyNumberFormat="1" applyFont="1" applyFill="1" applyBorder="1" applyAlignment="1">
      <alignment vertical="center"/>
    </xf>
    <xf numFmtId="199" fontId="311" fillId="26" borderId="8" xfId="1" applyNumberFormat="1" applyFont="1" applyFill="1" applyBorder="1" applyAlignment="1">
      <alignment horizontal="center"/>
    </xf>
    <xf numFmtId="0" fontId="321" fillId="0" borderId="0" xfId="0" applyFont="1"/>
    <xf numFmtId="3" fontId="322" fillId="0" borderId="0" xfId="0" applyNumberFormat="1" applyFont="1" applyFill="1" applyBorder="1" applyAlignment="1">
      <alignment horizontal="center" vertical="center"/>
    </xf>
    <xf numFmtId="197" fontId="322" fillId="0" borderId="0" xfId="0" applyNumberFormat="1" applyFont="1" applyFill="1" applyBorder="1" applyAlignment="1">
      <alignment horizontal="center" vertical="center"/>
    </xf>
    <xf numFmtId="0" fontId="116" fillId="0" borderId="0" xfId="0" applyFont="1" applyBorder="1"/>
    <xf numFmtId="0" fontId="279" fillId="0" borderId="122" xfId="0" applyFont="1" applyBorder="1"/>
    <xf numFmtId="0" fontId="279" fillId="0" borderId="123" xfId="0" applyFont="1" applyBorder="1"/>
    <xf numFmtId="0" fontId="279" fillId="0" borderId="124" xfId="0" applyFont="1" applyBorder="1"/>
    <xf numFmtId="213" fontId="315" fillId="0" borderId="126" xfId="0" applyNumberFormat="1" applyFont="1" applyFill="1" applyBorder="1" applyAlignment="1">
      <alignment horizontal="center" vertical="center"/>
    </xf>
    <xf numFmtId="3" fontId="315" fillId="0" borderId="126" xfId="0" applyNumberFormat="1" applyFont="1" applyFill="1" applyBorder="1" applyAlignment="1">
      <alignment horizontal="center" vertical="center"/>
    </xf>
    <xf numFmtId="191" fontId="315" fillId="0" borderId="126" xfId="0" applyNumberFormat="1" applyFont="1" applyFill="1" applyBorder="1" applyAlignment="1">
      <alignment horizontal="center" vertical="center"/>
    </xf>
    <xf numFmtId="0" fontId="279" fillId="0" borderId="127" xfId="0" applyFont="1" applyBorder="1"/>
    <xf numFmtId="0" fontId="279" fillId="0" borderId="128" xfId="0" applyFont="1" applyBorder="1"/>
    <xf numFmtId="197" fontId="315" fillId="0" borderId="128" xfId="0" applyNumberFormat="1" applyFont="1" applyFill="1" applyBorder="1" applyAlignment="1">
      <alignment horizontal="center" vertical="center"/>
    </xf>
    <xf numFmtId="0" fontId="279" fillId="0" borderId="129" xfId="0" applyFont="1" applyBorder="1"/>
    <xf numFmtId="191" fontId="78" fillId="2" borderId="0" xfId="0" applyNumberFormat="1" applyFont="1" applyFill="1" applyBorder="1" applyAlignment="1">
      <alignment horizontal="center" vertical="center"/>
    </xf>
    <xf numFmtId="10" fontId="78" fillId="0" borderId="0" xfId="2" applyNumberFormat="1" applyFont="1" applyBorder="1"/>
    <xf numFmtId="191" fontId="53" fillId="10" borderId="84" xfId="0" applyNumberFormat="1" applyFont="1" applyFill="1" applyBorder="1" applyAlignment="1">
      <alignment horizontal="center" vertical="center"/>
    </xf>
    <xf numFmtId="216" fontId="24" fillId="14" borderId="84" xfId="4319" applyNumberFormat="1" applyFont="1" applyFill="1" applyBorder="1" applyAlignment="1">
      <alignment horizontal="center" vertical="center"/>
    </xf>
    <xf numFmtId="10" fontId="25" fillId="26" borderId="84" xfId="9" applyNumberFormat="1" applyFont="1" applyFill="1" applyBorder="1" applyAlignment="1">
      <alignment horizontal="center"/>
    </xf>
    <xf numFmtId="4" fontId="147" fillId="26" borderId="84" xfId="8" applyNumberFormat="1" applyFont="1" applyFill="1" applyBorder="1" applyAlignment="1">
      <alignment horizontal="center"/>
    </xf>
    <xf numFmtId="3" fontId="43" fillId="90" borderId="8" xfId="8" applyNumberFormat="1" applyFont="1" applyFill="1" applyBorder="1" applyAlignment="1">
      <alignment horizontal="center"/>
    </xf>
    <xf numFmtId="3" fontId="75" fillId="0" borderId="8" xfId="9" applyNumberFormat="1" applyFont="1" applyFill="1" applyBorder="1" applyAlignment="1">
      <alignment horizontal="center"/>
    </xf>
    <xf numFmtId="0" fontId="319" fillId="2" borderId="8" xfId="8" applyFont="1" applyFill="1" applyBorder="1" applyAlignment="1">
      <alignment horizontal="center"/>
    </xf>
    <xf numFmtId="1" fontId="74" fillId="2" borderId="8" xfId="8" applyNumberFormat="1" applyFont="1" applyFill="1" applyBorder="1" applyAlignment="1">
      <alignment horizontal="center"/>
    </xf>
    <xf numFmtId="3" fontId="73" fillId="15" borderId="7" xfId="8" applyNumberFormat="1" applyFont="1" applyFill="1" applyBorder="1" applyAlignment="1">
      <alignment horizontal="center"/>
    </xf>
    <xf numFmtId="3" fontId="73" fillId="15" borderId="7" xfId="8" quotePrefix="1" applyNumberFormat="1" applyFont="1" applyFill="1" applyBorder="1" applyAlignment="1">
      <alignment horizontal="center"/>
    </xf>
    <xf numFmtId="3" fontId="73" fillId="15" borderId="85" xfId="8" quotePrefix="1" applyNumberFormat="1" applyFont="1" applyFill="1" applyBorder="1" applyAlignment="1">
      <alignment horizontal="center"/>
    </xf>
    <xf numFmtId="3" fontId="46" fillId="14" borderId="8" xfId="8" applyNumberFormat="1" applyFont="1" applyFill="1" applyBorder="1" applyAlignment="1">
      <alignment horizontal="center"/>
    </xf>
    <xf numFmtId="3" fontId="74" fillId="0" borderId="85" xfId="8" applyNumberFormat="1" applyFont="1" applyFill="1" applyBorder="1" applyAlignment="1">
      <alignment horizontal="center"/>
    </xf>
    <xf numFmtId="3" fontId="45" fillId="74" borderId="85" xfId="8" applyNumberFormat="1" applyFont="1" applyFill="1" applyBorder="1" applyAlignment="1">
      <alignment horizontal="center"/>
    </xf>
    <xf numFmtId="3" fontId="45" fillId="74" borderId="85" xfId="8" quotePrefix="1" applyNumberFormat="1" applyFont="1" applyFill="1" applyBorder="1" applyAlignment="1">
      <alignment horizontal="center"/>
    </xf>
    <xf numFmtId="3" fontId="45" fillId="74" borderId="84" xfId="8" quotePrefix="1" applyNumberFormat="1" applyFont="1" applyFill="1" applyBorder="1" applyAlignment="1">
      <alignment horizontal="center"/>
    </xf>
    <xf numFmtId="3" fontId="242" fillId="26" borderId="85" xfId="8" applyNumberFormat="1" applyFont="1" applyFill="1" applyBorder="1" applyAlignment="1">
      <alignment horizontal="center"/>
    </xf>
    <xf numFmtId="3" fontId="242" fillId="26" borderId="85" xfId="8" quotePrefix="1" applyNumberFormat="1" applyFont="1" applyFill="1" applyBorder="1" applyAlignment="1">
      <alignment horizontal="center"/>
    </xf>
    <xf numFmtId="4" fontId="73" fillId="15" borderId="7" xfId="8" quotePrefix="1" applyNumberFormat="1" applyFont="1" applyFill="1" applyBorder="1" applyAlignment="1">
      <alignment horizontal="center"/>
    </xf>
    <xf numFmtId="3" fontId="74" fillId="74" borderId="85" xfId="8" applyNumberFormat="1" applyFont="1" applyFill="1" applyBorder="1" applyAlignment="1">
      <alignment horizontal="center"/>
    </xf>
    <xf numFmtId="3" fontId="74" fillId="74" borderId="85" xfId="8" quotePrefix="1" applyNumberFormat="1" applyFont="1" applyFill="1" applyBorder="1" applyAlignment="1">
      <alignment horizontal="center"/>
    </xf>
    <xf numFmtId="206" fontId="74" fillId="74" borderId="84" xfId="8" quotePrefix="1" applyNumberFormat="1" applyFont="1" applyFill="1" applyBorder="1" applyAlignment="1">
      <alignment horizontal="center"/>
    </xf>
    <xf numFmtId="3" fontId="243" fillId="75" borderId="85" xfId="8" applyNumberFormat="1" applyFont="1" applyFill="1" applyBorder="1" applyAlignment="1">
      <alignment horizontal="center"/>
    </xf>
    <xf numFmtId="1" fontId="242" fillId="26" borderId="85" xfId="8" applyNumberFormat="1" applyFont="1" applyFill="1" applyBorder="1" applyAlignment="1">
      <alignment horizontal="center"/>
    </xf>
    <xf numFmtId="3" fontId="74" fillId="0" borderId="85" xfId="8" quotePrefix="1" applyNumberFormat="1" applyFont="1" applyFill="1" applyBorder="1" applyAlignment="1">
      <alignment horizontal="center"/>
    </xf>
    <xf numFmtId="3" fontId="74" fillId="14" borderId="84" xfId="8" applyNumberFormat="1" applyFont="1" applyFill="1" applyBorder="1" applyAlignment="1">
      <alignment horizontal="center"/>
    </xf>
    <xf numFmtId="206" fontId="73" fillId="15" borderId="7" xfId="8" applyNumberFormat="1" applyFont="1" applyFill="1" applyBorder="1" applyAlignment="1">
      <alignment horizontal="center"/>
    </xf>
    <xf numFmtId="4" fontId="73" fillId="15" borderId="84" xfId="8" quotePrefix="1" applyNumberFormat="1" applyFont="1" applyFill="1" applyBorder="1" applyAlignment="1">
      <alignment horizontal="center"/>
    </xf>
    <xf numFmtId="4" fontId="73" fillId="15" borderId="85" xfId="8" quotePrefix="1" applyNumberFormat="1" applyFont="1" applyFill="1" applyBorder="1" applyAlignment="1">
      <alignment horizontal="center"/>
    </xf>
    <xf numFmtId="3" fontId="74" fillId="2" borderId="85" xfId="8" applyNumberFormat="1" applyFont="1" applyFill="1" applyBorder="1" applyAlignment="1">
      <alignment horizontal="center"/>
    </xf>
    <xf numFmtId="4" fontId="74" fillId="2" borderId="85" xfId="8" applyNumberFormat="1" applyFont="1" applyFill="1" applyBorder="1" applyAlignment="1">
      <alignment horizontal="center"/>
    </xf>
    <xf numFmtId="206" fontId="74" fillId="15" borderId="7" xfId="8" applyNumberFormat="1" applyFont="1" applyFill="1" applyBorder="1" applyAlignment="1">
      <alignment horizontal="center"/>
    </xf>
    <xf numFmtId="3" fontId="74" fillId="15" borderId="7" xfId="8" applyNumberFormat="1" applyFont="1" applyFill="1" applyBorder="1" applyAlignment="1">
      <alignment horizontal="center"/>
    </xf>
    <xf numFmtId="3" fontId="74" fillId="15" borderId="7" xfId="8" quotePrefix="1" applyNumberFormat="1" applyFont="1" applyFill="1" applyBorder="1" applyAlignment="1">
      <alignment horizontal="center"/>
    </xf>
    <xf numFmtId="3" fontId="74" fillId="15" borderId="84" xfId="8" quotePrefix="1" applyNumberFormat="1" applyFont="1" applyFill="1" applyBorder="1" applyAlignment="1">
      <alignment horizontal="center"/>
    </xf>
    <xf numFmtId="3" fontId="74" fillId="0" borderId="84" xfId="8" quotePrefix="1" applyNumberFormat="1" applyFont="1" applyFill="1" applyBorder="1" applyAlignment="1">
      <alignment horizontal="center"/>
    </xf>
    <xf numFmtId="3" fontId="73" fillId="15" borderId="8" xfId="8" applyNumberFormat="1" applyFont="1" applyFill="1" applyBorder="1" applyAlignment="1">
      <alignment horizontal="center"/>
    </xf>
    <xf numFmtId="3" fontId="46" fillId="15" borderId="8" xfId="8" applyNumberFormat="1" applyFont="1" applyFill="1" applyBorder="1" applyAlignment="1">
      <alignment horizontal="center"/>
    </xf>
    <xf numFmtId="3" fontId="73" fillId="15" borderId="84" xfId="8" quotePrefix="1" applyNumberFormat="1" applyFont="1" applyFill="1" applyBorder="1" applyAlignment="1">
      <alignment horizontal="center"/>
    </xf>
    <xf numFmtId="3" fontId="74" fillId="82" borderId="85" xfId="8" quotePrefix="1" applyNumberFormat="1" applyFont="1" applyFill="1" applyBorder="1" applyAlignment="1">
      <alignment horizontal="center"/>
    </xf>
    <xf numFmtId="3" fontId="74" fillId="9" borderId="85" xfId="8" quotePrefix="1" applyNumberFormat="1" applyFont="1" applyFill="1" applyBorder="1" applyAlignment="1">
      <alignment horizontal="center"/>
    </xf>
    <xf numFmtId="1" fontId="74" fillId="9" borderId="85" xfId="2" quotePrefix="1" applyNumberFormat="1" applyFont="1" applyFill="1" applyBorder="1" applyAlignment="1">
      <alignment horizontal="center"/>
    </xf>
    <xf numFmtId="3" fontId="73" fillId="15" borderId="84" xfId="8" applyNumberFormat="1" applyFont="1" applyFill="1" applyBorder="1" applyAlignment="1">
      <alignment horizontal="center"/>
    </xf>
    <xf numFmtId="3" fontId="223" fillId="18" borderId="85" xfId="8" applyNumberFormat="1" applyFont="1" applyFill="1" applyBorder="1" applyAlignment="1">
      <alignment horizontal="center"/>
    </xf>
    <xf numFmtId="3" fontId="223" fillId="18" borderId="85" xfId="8" quotePrefix="1" applyNumberFormat="1" applyFont="1" applyFill="1" applyBorder="1" applyAlignment="1">
      <alignment horizontal="center"/>
    </xf>
    <xf numFmtId="3" fontId="223" fillId="14" borderId="84" xfId="8" applyNumberFormat="1" applyFont="1" applyFill="1" applyBorder="1" applyAlignment="1">
      <alignment horizontal="center"/>
    </xf>
    <xf numFmtId="3" fontId="243" fillId="75" borderId="85" xfId="8" quotePrefix="1" applyNumberFormat="1" applyFont="1" applyFill="1" applyBorder="1" applyAlignment="1">
      <alignment horizontal="center"/>
    </xf>
    <xf numFmtId="197" fontId="242" fillId="26" borderId="85" xfId="1" applyNumberFormat="1" applyFont="1" applyFill="1" applyBorder="1" applyAlignment="1">
      <alignment horizontal="center"/>
    </xf>
    <xf numFmtId="3" fontId="70" fillId="26" borderId="85" xfId="8" quotePrefix="1" applyNumberFormat="1" applyFont="1" applyFill="1" applyBorder="1" applyAlignment="1">
      <alignment horizontal="center"/>
    </xf>
    <xf numFmtId="3" fontId="310" fillId="15" borderId="7" xfId="8" applyNumberFormat="1" applyFont="1" applyFill="1" applyBorder="1" applyAlignment="1">
      <alignment horizontal="center"/>
    </xf>
    <xf numFmtId="3" fontId="310" fillId="15" borderId="7" xfId="8" quotePrefix="1" applyNumberFormat="1" applyFont="1" applyFill="1" applyBorder="1" applyAlignment="1">
      <alignment horizontal="center"/>
    </xf>
    <xf numFmtId="3" fontId="310" fillId="15" borderId="85" xfId="8" quotePrefix="1" applyNumberFormat="1" applyFont="1" applyFill="1" applyBorder="1" applyAlignment="1">
      <alignment horizontal="center"/>
    </xf>
    <xf numFmtId="3" fontId="87" fillId="0" borderId="85" xfId="8" applyNumberFormat="1" applyFont="1" applyFill="1" applyBorder="1" applyAlignment="1">
      <alignment horizontal="center"/>
    </xf>
    <xf numFmtId="3" fontId="45" fillId="26" borderId="85" xfId="8" quotePrefix="1" applyNumberFormat="1" applyFont="1" applyFill="1" applyBorder="1" applyAlignment="1">
      <alignment horizontal="center"/>
    </xf>
    <xf numFmtId="3" fontId="243" fillId="75" borderId="85" xfId="3451" quotePrefix="1" applyNumberFormat="1" applyFont="1" applyFill="1" applyBorder="1" applyAlignment="1">
      <alignment horizontal="center"/>
    </xf>
    <xf numFmtId="1" fontId="43" fillId="2" borderId="0" xfId="8" applyNumberFormat="1" applyFill="1" applyBorder="1" applyAlignment="1">
      <alignment horizontal="center"/>
    </xf>
    <xf numFmtId="202" fontId="74" fillId="2" borderId="0" xfId="8" applyNumberFormat="1" applyFont="1" applyFill="1" applyAlignment="1">
      <alignment horizontal="center"/>
    </xf>
    <xf numFmtId="1" fontId="47" fillId="2" borderId="0" xfId="8" applyNumberFormat="1" applyFont="1" applyFill="1" applyAlignment="1">
      <alignment horizontal="center"/>
    </xf>
    <xf numFmtId="1" fontId="317" fillId="2" borderId="0" xfId="8" applyNumberFormat="1" applyFont="1" applyFill="1" applyAlignment="1">
      <alignment horizontal="center"/>
    </xf>
    <xf numFmtId="202" fontId="45" fillId="2" borderId="0" xfId="8" applyNumberFormat="1" applyFont="1" applyFill="1" applyAlignment="1">
      <alignment horizontal="center"/>
    </xf>
    <xf numFmtId="3" fontId="28" fillId="14" borderId="8" xfId="8" applyNumberFormat="1" applyFont="1" applyFill="1" applyBorder="1" applyAlignment="1">
      <alignment horizontal="center"/>
    </xf>
    <xf numFmtId="3" fontId="46" fillId="2" borderId="8" xfId="8" applyNumberFormat="1" applyFont="1" applyFill="1" applyBorder="1" applyAlignment="1">
      <alignment horizontal="center"/>
    </xf>
    <xf numFmtId="216" fontId="147" fillId="75" borderId="84" xfId="2" applyNumberFormat="1" applyFont="1" applyFill="1" applyBorder="1" applyAlignment="1">
      <alignment horizontal="center"/>
    </xf>
    <xf numFmtId="10" fontId="25" fillId="75" borderId="84" xfId="9" applyNumberFormat="1" applyFont="1" applyFill="1" applyBorder="1" applyAlignment="1">
      <alignment horizontal="center"/>
    </xf>
    <xf numFmtId="197" fontId="147" fillId="75" borderId="8" xfId="1" applyNumberFormat="1" applyFont="1" applyFill="1" applyBorder="1" applyAlignment="1">
      <alignment horizontal="center"/>
    </xf>
    <xf numFmtId="4" fontId="147" fillId="75" borderId="84" xfId="8" applyNumberFormat="1" applyFont="1" applyFill="1" applyBorder="1" applyAlignment="1">
      <alignment horizontal="center"/>
    </xf>
    <xf numFmtId="0" fontId="311" fillId="92" borderId="8" xfId="8" applyFont="1" applyFill="1" applyBorder="1" applyAlignment="1">
      <alignment horizontal="center"/>
    </xf>
    <xf numFmtId="0" fontId="311" fillId="26" borderId="84" xfId="8" applyFont="1" applyFill="1" applyBorder="1" applyAlignment="1">
      <alignment horizontal="center"/>
    </xf>
    <xf numFmtId="0" fontId="311" fillId="75" borderId="84" xfId="8" applyFont="1" applyFill="1" applyBorder="1" applyAlignment="1">
      <alignment horizontal="center"/>
    </xf>
    <xf numFmtId="0" fontId="311" fillId="90" borderId="8" xfId="8" applyFont="1" applyFill="1" applyBorder="1" applyAlignment="1">
      <alignment horizontal="center"/>
    </xf>
    <xf numFmtId="261" fontId="53" fillId="0" borderId="0" xfId="1" applyNumberFormat="1" applyFont="1" applyFill="1" applyBorder="1" applyAlignment="1">
      <alignment horizontal="right" vertical="center" wrapText="1"/>
    </xf>
    <xf numFmtId="0" fontId="323" fillId="26" borderId="84" xfId="8" applyFont="1" applyFill="1" applyBorder="1" applyAlignment="1">
      <alignment horizontal="right" vertical="center" wrapText="1"/>
    </xf>
    <xf numFmtId="0" fontId="242" fillId="26" borderId="84" xfId="8" applyFont="1" applyFill="1" applyBorder="1" applyAlignment="1">
      <alignment horizontal="right" vertical="top" wrapText="1"/>
    </xf>
    <xf numFmtId="2" fontId="0" fillId="0" borderId="0" xfId="0" applyNumberFormat="1" applyFont="1"/>
    <xf numFmtId="1" fontId="24" fillId="0" borderId="0" xfId="8" applyNumberFormat="1" applyFont="1" applyFill="1" applyBorder="1"/>
    <xf numFmtId="1" fontId="48" fillId="0" borderId="0" xfId="1" applyNumberFormat="1" applyFont="1" applyFill="1" applyBorder="1" applyAlignment="1">
      <alignment horizontal="right" vertical="center"/>
    </xf>
    <xf numFmtId="198" fontId="74" fillId="2" borderId="0" xfId="8" applyNumberFormat="1" applyFont="1" applyFill="1"/>
    <xf numFmtId="260" fontId="78" fillId="0" borderId="0" xfId="0" applyNumberFormat="1" applyFont="1"/>
    <xf numFmtId="206" fontId="318" fillId="0" borderId="0" xfId="0" applyNumberFormat="1" applyFont="1" applyFill="1" applyBorder="1" applyAlignment="1">
      <alignment horizontal="center" vertical="center"/>
    </xf>
    <xf numFmtId="191" fontId="78" fillId="0" borderId="0" xfId="0" applyNumberFormat="1" applyFont="1"/>
    <xf numFmtId="192" fontId="48" fillId="0" borderId="96" xfId="1" applyNumberFormat="1" applyFont="1" applyFill="1" applyBorder="1" applyAlignment="1">
      <alignment horizontal="center" vertical="center" wrapText="1"/>
    </xf>
    <xf numFmtId="260" fontId="324" fillId="0" borderId="0" xfId="0" applyNumberFormat="1" applyFont="1"/>
    <xf numFmtId="43" fontId="78" fillId="2" borderId="0" xfId="0" applyNumberFormat="1" applyFont="1" applyFill="1" applyBorder="1" applyAlignment="1">
      <alignment vertical="center"/>
    </xf>
    <xf numFmtId="206" fontId="51" fillId="0" borderId="82" xfId="0" applyNumberFormat="1" applyFont="1" applyFill="1" applyBorder="1" applyAlignment="1">
      <alignment horizontal="center" vertical="center"/>
    </xf>
    <xf numFmtId="194" fontId="51" fillId="75" borderId="82" xfId="0" applyNumberFormat="1" applyFont="1" applyFill="1" applyBorder="1" applyAlignment="1">
      <alignment horizontal="right" vertical="center"/>
    </xf>
    <xf numFmtId="0" fontId="51" fillId="75" borderId="84" xfId="0" applyFont="1" applyFill="1" applyBorder="1" applyAlignment="1">
      <alignment horizontal="center" vertical="center" wrapText="1"/>
    </xf>
    <xf numFmtId="0" fontId="49" fillId="75" borderId="84" xfId="0" applyFont="1" applyFill="1" applyBorder="1" applyAlignment="1">
      <alignment horizontal="center" vertical="center" wrapText="1"/>
    </xf>
    <xf numFmtId="194" fontId="325" fillId="2" borderId="0" xfId="0" applyNumberFormat="1" applyFont="1" applyFill="1" applyBorder="1" applyAlignment="1">
      <alignment vertical="center"/>
    </xf>
    <xf numFmtId="261" fontId="78" fillId="2" borderId="0" xfId="0" applyNumberFormat="1" applyFont="1" applyFill="1" applyBorder="1" applyAlignment="1">
      <alignment vertical="center"/>
    </xf>
    <xf numFmtId="192" fontId="249" fillId="12" borderId="18" xfId="1" applyNumberFormat="1" applyFont="1" applyFill="1" applyBorder="1" applyAlignment="1">
      <alignment horizontal="center" vertical="center" wrapText="1"/>
    </xf>
    <xf numFmtId="192" fontId="249" fillId="12" borderId="45" xfId="1" applyNumberFormat="1" applyFont="1" applyFill="1" applyBorder="1" applyAlignment="1">
      <alignment horizontal="center" vertical="center" wrapText="1"/>
    </xf>
    <xf numFmtId="192" fontId="219" fillId="12" borderId="18" xfId="1" applyNumberFormat="1" applyFont="1" applyFill="1" applyBorder="1" applyAlignment="1">
      <alignment horizontal="center" vertical="center" wrapText="1"/>
    </xf>
    <xf numFmtId="192" fontId="219" fillId="12" borderId="45" xfId="1" applyNumberFormat="1" applyFont="1" applyFill="1" applyBorder="1" applyAlignment="1">
      <alignment horizontal="center" vertical="center" wrapText="1"/>
    </xf>
    <xf numFmtId="192" fontId="81" fillId="93" borderId="12" xfId="1" applyNumberFormat="1" applyFont="1" applyFill="1" applyBorder="1" applyAlignment="1">
      <alignment horizontal="center" vertical="center" wrapText="1"/>
    </xf>
    <xf numFmtId="192" fontId="81" fillId="0" borderId="45" xfId="1" applyNumberFormat="1" applyFont="1" applyFill="1" applyBorder="1" applyAlignment="1">
      <alignment horizontal="center" vertical="center" wrapText="1"/>
    </xf>
    <xf numFmtId="192" fontId="81" fillId="0" borderId="46" xfId="1" applyNumberFormat="1" applyFont="1" applyFill="1" applyBorder="1" applyAlignment="1">
      <alignment horizontal="center" vertical="center" wrapText="1"/>
    </xf>
    <xf numFmtId="43" fontId="48" fillId="0" borderId="0" xfId="1" applyNumberFormat="1" applyFont="1" applyFill="1" applyBorder="1"/>
    <xf numFmtId="192" fontId="78" fillId="0" borderId="0" xfId="0" applyNumberFormat="1" applyFont="1" applyBorder="1"/>
    <xf numFmtId="43" fontId="324" fillId="0" borderId="0" xfId="0" applyNumberFormat="1" applyFont="1"/>
    <xf numFmtId="192" fontId="78" fillId="15" borderId="59" xfId="1" applyNumberFormat="1" applyFont="1" applyFill="1" applyBorder="1" applyAlignment="1">
      <alignment horizontal="center" vertical="center" wrapText="1"/>
    </xf>
    <xf numFmtId="192" fontId="78" fillId="15" borderId="40" xfId="1" applyNumberFormat="1" applyFont="1" applyFill="1" applyBorder="1" applyAlignment="1">
      <alignment horizontal="center" vertical="center" wrapText="1"/>
    </xf>
    <xf numFmtId="192" fontId="78" fillId="15" borderId="50" xfId="1" applyNumberFormat="1" applyFont="1" applyFill="1" applyBorder="1"/>
    <xf numFmtId="192" fontId="93" fillId="40" borderId="58" xfId="1" applyNumberFormat="1" applyFont="1" applyFill="1" applyBorder="1" applyAlignment="1">
      <alignment horizontal="center" vertical="center" wrapText="1"/>
    </xf>
    <xf numFmtId="208" fontId="127" fillId="30" borderId="27" xfId="0" applyNumberFormat="1" applyFont="1" applyFill="1" applyBorder="1"/>
    <xf numFmtId="194" fontId="78" fillId="15" borderId="30" xfId="1" applyNumberFormat="1" applyFont="1" applyFill="1" applyBorder="1" applyAlignment="1">
      <alignment horizontal="right" vertical="center" wrapText="1"/>
    </xf>
    <xf numFmtId="192" fontId="95" fillId="0" borderId="84" xfId="1" applyNumberFormat="1" applyFont="1" applyFill="1" applyBorder="1" applyAlignment="1">
      <alignment vertical="center" wrapText="1"/>
    </xf>
    <xf numFmtId="192" fontId="95" fillId="0" borderId="81" xfId="1" applyNumberFormat="1" applyFont="1" applyFill="1" applyBorder="1" applyAlignment="1">
      <alignment vertical="center" wrapText="1"/>
    </xf>
    <xf numFmtId="1" fontId="326" fillId="2" borderId="0" xfId="8" applyNumberFormat="1" applyFont="1" applyFill="1" applyAlignment="1">
      <alignment horizontal="center"/>
    </xf>
    <xf numFmtId="2" fontId="46" fillId="0" borderId="0" xfId="8" applyNumberFormat="1" applyFont="1" applyAlignment="1">
      <alignment horizontal="center" vertical="center"/>
    </xf>
    <xf numFmtId="198" fontId="318" fillId="0" borderId="0" xfId="0" applyNumberFormat="1" applyFont="1" applyFill="1" applyBorder="1" applyAlignment="1">
      <alignment horizontal="center" vertical="center"/>
    </xf>
    <xf numFmtId="0" fontId="318" fillId="0" borderId="0" xfId="0" quotePrefix="1" applyFont="1" applyFill="1" applyBorder="1" applyAlignment="1">
      <alignment horizontal="center" vertical="center"/>
    </xf>
    <xf numFmtId="192" fontId="81" fillId="0" borderId="45" xfId="1" applyNumberFormat="1" applyFont="1" applyFill="1" applyBorder="1" applyAlignment="1">
      <alignment horizontal="center" vertical="center" wrapText="1"/>
    </xf>
    <xf numFmtId="192" fontId="81" fillId="93" borderId="132" xfId="1" applyNumberFormat="1" applyFont="1" applyFill="1" applyBorder="1" applyAlignment="1">
      <alignment horizontal="center" vertical="center" wrapText="1"/>
    </xf>
    <xf numFmtId="192" fontId="219" fillId="0" borderId="69" xfId="1" applyNumberFormat="1" applyFont="1" applyFill="1" applyBorder="1" applyAlignment="1">
      <alignment horizontal="center" vertical="center" wrapText="1"/>
    </xf>
    <xf numFmtId="2" fontId="127" fillId="29" borderId="65" xfId="0" applyNumberFormat="1" applyFont="1" applyFill="1" applyBorder="1" applyAlignment="1">
      <alignment horizontal="center" vertical="center" wrapText="1"/>
    </xf>
    <xf numFmtId="192" fontId="81" fillId="0" borderId="12" xfId="1" applyNumberFormat="1" applyFont="1" applyFill="1" applyBorder="1" applyAlignment="1">
      <alignment horizontal="center" vertical="center" wrapText="1"/>
    </xf>
    <xf numFmtId="194" fontId="78" fillId="15" borderId="50" xfId="1" applyNumberFormat="1" applyFont="1" applyFill="1" applyBorder="1" applyAlignment="1">
      <alignment horizontal="right" vertical="center" wrapText="1"/>
    </xf>
    <xf numFmtId="194" fontId="48" fillId="15" borderId="10" xfId="1" applyNumberFormat="1" applyFont="1" applyFill="1" applyBorder="1" applyAlignment="1">
      <alignment horizontal="right" vertical="center" wrapText="1"/>
    </xf>
    <xf numFmtId="194" fontId="78" fillId="15" borderId="10" xfId="1" applyNumberFormat="1" applyFont="1" applyFill="1" applyBorder="1" applyAlignment="1">
      <alignment horizontal="right" vertical="center" wrapText="1"/>
    </xf>
    <xf numFmtId="194" fontId="93" fillId="40" borderId="8" xfId="1" applyNumberFormat="1" applyFont="1" applyFill="1" applyBorder="1" applyAlignment="1">
      <alignment horizontal="center" vertical="center" wrapText="1"/>
    </xf>
    <xf numFmtId="194" fontId="93" fillId="40" borderId="14" xfId="1" applyNumberFormat="1" applyFont="1" applyFill="1" applyBorder="1" applyAlignment="1">
      <alignment horizontal="center" vertical="center" wrapText="1"/>
    </xf>
    <xf numFmtId="194" fontId="79" fillId="0" borderId="0" xfId="1" applyNumberFormat="1" applyFont="1" applyBorder="1" applyAlignment="1">
      <alignment horizontal="center"/>
    </xf>
    <xf numFmtId="2" fontId="242" fillId="26" borderId="85" xfId="2" quotePrefix="1" applyNumberFormat="1" applyFont="1" applyFill="1" applyBorder="1" applyAlignment="1">
      <alignment horizontal="center"/>
    </xf>
    <xf numFmtId="10" fontId="43" fillId="2" borderId="84" xfId="2" applyNumberFormat="1" applyFont="1" applyFill="1" applyBorder="1" applyAlignment="1">
      <alignment horizontal="center"/>
    </xf>
    <xf numFmtId="10" fontId="74" fillId="2" borderId="84" xfId="2" applyNumberFormat="1" applyFont="1" applyFill="1" applyBorder="1" applyAlignment="1">
      <alignment horizontal="center"/>
    </xf>
    <xf numFmtId="0" fontId="45" fillId="2" borderId="0" xfId="8" applyFont="1" applyFill="1"/>
    <xf numFmtId="1" fontId="45" fillId="2" borderId="0" xfId="8" applyNumberFormat="1" applyFont="1" applyFill="1" applyBorder="1" applyAlignment="1">
      <alignment horizontal="center"/>
    </xf>
    <xf numFmtId="204" fontId="73" fillId="14" borderId="8" xfId="8" applyNumberFormat="1" applyFont="1" applyFill="1" applyBorder="1" applyAlignment="1">
      <alignment horizontal="center"/>
    </xf>
    <xf numFmtId="192" fontId="78" fillId="15" borderId="94" xfId="1" applyNumberFormat="1" applyFont="1" applyFill="1" applyBorder="1"/>
    <xf numFmtId="192" fontId="48" fillId="0" borderId="95" xfId="1" applyNumberFormat="1" applyFont="1" applyFill="1" applyBorder="1" applyAlignment="1">
      <alignment horizontal="center" vertical="center" wrapText="1"/>
    </xf>
    <xf numFmtId="192" fontId="78" fillId="15" borderId="26" xfId="1" applyNumberFormat="1" applyFont="1" applyFill="1" applyBorder="1" applyAlignment="1">
      <alignment horizontal="center" vertical="center" wrapText="1"/>
    </xf>
    <xf numFmtId="259" fontId="0" fillId="0" borderId="0" xfId="2" applyNumberFormat="1" applyFont="1"/>
    <xf numFmtId="258" fontId="74" fillId="2" borderId="8" xfId="8" applyNumberFormat="1" applyFont="1" applyFill="1" applyBorder="1"/>
    <xf numFmtId="206" fontId="47" fillId="0" borderId="0" xfId="8" applyNumberFormat="1" applyFont="1" applyFill="1" applyBorder="1" applyAlignment="1">
      <alignment horizontal="center"/>
    </xf>
    <xf numFmtId="191" fontId="46" fillId="2" borderId="8" xfId="8" applyNumberFormat="1" applyFont="1" applyFill="1" applyBorder="1" applyAlignment="1">
      <alignment horizontal="center"/>
    </xf>
    <xf numFmtId="22" fontId="0" fillId="0" borderId="0" xfId="0" applyNumberFormat="1"/>
    <xf numFmtId="2" fontId="24" fillId="0" borderId="0" xfId="8" applyNumberFormat="1" applyFont="1" applyFill="1" applyBorder="1" applyAlignment="1">
      <alignment horizontal="center" vertical="center"/>
    </xf>
    <xf numFmtId="9" fontId="0" fillId="0" borderId="0" xfId="2" applyFont="1" applyFill="1" applyBorder="1"/>
    <xf numFmtId="0" fontId="329" fillId="0" borderId="0" xfId="11" applyFont="1">
      <alignment vertical="center"/>
    </xf>
    <xf numFmtId="0" fontId="74" fillId="0" borderId="0" xfId="11" applyFont="1">
      <alignment vertical="center"/>
    </xf>
    <xf numFmtId="0" fontId="76" fillId="0" borderId="0" xfId="11">
      <alignment vertical="center"/>
    </xf>
    <xf numFmtId="0" fontId="330" fillId="0" borderId="0" xfId="11" applyFont="1">
      <alignment vertical="center"/>
    </xf>
    <xf numFmtId="0" fontId="76" fillId="0" borderId="50" xfId="11" applyBorder="1" applyAlignment="1">
      <alignment vertical="center"/>
    </xf>
    <xf numFmtId="0" fontId="76" fillId="0" borderId="0" xfId="11" applyAlignment="1">
      <alignment horizontal="center" vertical="center"/>
    </xf>
    <xf numFmtId="0" fontId="76" fillId="0" borderId="0" xfId="11" applyFill="1">
      <alignment vertical="center"/>
    </xf>
    <xf numFmtId="0" fontId="74" fillId="0" borderId="88" xfId="11" applyFont="1" applyBorder="1" applyAlignment="1">
      <alignment horizontal="center" vertical="center"/>
    </xf>
    <xf numFmtId="0" fontId="74" fillId="0" borderId="84" xfId="11" applyFont="1" applyBorder="1" applyAlignment="1">
      <alignment horizontal="center" vertical="center"/>
    </xf>
    <xf numFmtId="0" fontId="74" fillId="0" borderId="86" xfId="11" applyFont="1" applyBorder="1" applyAlignment="1">
      <alignment horizontal="center" vertical="center"/>
    </xf>
    <xf numFmtId="0" fontId="74" fillId="0" borderId="81" xfId="11" applyFont="1" applyBorder="1" applyAlignment="1">
      <alignment horizontal="center" vertical="center"/>
    </xf>
    <xf numFmtId="0" fontId="74" fillId="0" borderId="28" xfId="11" applyFont="1" applyBorder="1" applyAlignment="1">
      <alignment horizontal="center" vertical="center"/>
    </xf>
    <xf numFmtId="0" fontId="74" fillId="0" borderId="90" xfId="11" applyFont="1" applyBorder="1" applyAlignment="1">
      <alignment horizontal="center" vertical="center"/>
    </xf>
    <xf numFmtId="0" fontId="74" fillId="0" borderId="82" xfId="11" applyFont="1" applyBorder="1" applyAlignment="1">
      <alignment horizontal="center" vertical="center"/>
    </xf>
    <xf numFmtId="0" fontId="74" fillId="0" borderId="30" xfId="11" applyFont="1" applyBorder="1" applyAlignment="1">
      <alignment horizontal="center" vertical="center"/>
    </xf>
    <xf numFmtId="0" fontId="74" fillId="0" borderId="89" xfId="11" applyFont="1" applyBorder="1" applyAlignment="1">
      <alignment horizontal="center" vertical="center"/>
    </xf>
    <xf numFmtId="0" fontId="74" fillId="0" borderId="91" xfId="11" applyFont="1" applyBorder="1" applyAlignment="1">
      <alignment horizontal="center" vertical="center"/>
    </xf>
    <xf numFmtId="0" fontId="74" fillId="0" borderId="95" xfId="11" applyFont="1" applyBorder="1">
      <alignment vertical="center"/>
    </xf>
    <xf numFmtId="0" fontId="74" fillId="0" borderId="94" xfId="11" applyFont="1" applyBorder="1">
      <alignment vertical="center"/>
    </xf>
    <xf numFmtId="262" fontId="74" fillId="0" borderId="85" xfId="11" applyNumberFormat="1" applyFont="1" applyBorder="1">
      <alignment vertical="center"/>
    </xf>
    <xf numFmtId="262" fontId="74" fillId="0" borderId="84" xfId="11" applyNumberFormat="1" applyFont="1" applyBorder="1">
      <alignment vertical="center"/>
    </xf>
    <xf numFmtId="2" fontId="24" fillId="94" borderId="35" xfId="253" applyNumberFormat="1" applyFont="1" applyFill="1" applyBorder="1"/>
    <xf numFmtId="263" fontId="74" fillId="95" borderId="86" xfId="11" applyNumberFormat="1" applyFont="1" applyFill="1" applyBorder="1">
      <alignment vertical="center"/>
    </xf>
    <xf numFmtId="264" fontId="74" fillId="96" borderId="86" xfId="11" applyNumberFormat="1" applyFont="1" applyFill="1" applyBorder="1">
      <alignment vertical="center"/>
    </xf>
    <xf numFmtId="264" fontId="74" fillId="97" borderId="84" xfId="11" applyNumberFormat="1" applyFont="1" applyFill="1" applyBorder="1">
      <alignment vertical="center"/>
    </xf>
    <xf numFmtId="264" fontId="74" fillId="97" borderId="25" xfId="11" applyNumberFormat="1" applyFont="1" applyFill="1" applyBorder="1">
      <alignment vertical="center"/>
    </xf>
    <xf numFmtId="265" fontId="74" fillId="96" borderId="85" xfId="11" applyNumberFormat="1" applyFont="1" applyFill="1" applyBorder="1">
      <alignment vertical="center"/>
    </xf>
    <xf numFmtId="265" fontId="74" fillId="96" borderId="84" xfId="11" applyNumberFormat="1" applyFont="1" applyFill="1" applyBorder="1">
      <alignment vertical="center"/>
    </xf>
    <xf numFmtId="265" fontId="74" fillId="96" borderId="81" xfId="11" applyNumberFormat="1" applyFont="1" applyFill="1" applyBorder="1">
      <alignment vertical="center"/>
    </xf>
    <xf numFmtId="2" fontId="24" fillId="94" borderId="84" xfId="253" applyNumberFormat="1" applyFont="1" applyFill="1" applyBorder="1"/>
    <xf numFmtId="263" fontId="74" fillId="0" borderId="86" xfId="11" applyNumberFormat="1" applyFont="1" applyFill="1" applyBorder="1">
      <alignment vertical="center"/>
    </xf>
    <xf numFmtId="264" fontId="74" fillId="97" borderId="62" xfId="11" applyNumberFormat="1" applyFont="1" applyFill="1" applyBorder="1">
      <alignment vertical="center"/>
    </xf>
    <xf numFmtId="265" fontId="74" fillId="96" borderId="10" xfId="11" applyNumberFormat="1" applyFont="1" applyFill="1" applyBorder="1">
      <alignment vertical="center"/>
    </xf>
    <xf numFmtId="264" fontId="74" fillId="0" borderId="88" xfId="11" applyNumberFormat="1" applyFont="1" applyFill="1" applyBorder="1">
      <alignment vertical="center"/>
    </xf>
    <xf numFmtId="264" fontId="74" fillId="0" borderId="84" xfId="11" applyNumberFormat="1" applyFont="1" applyFill="1" applyBorder="1">
      <alignment vertical="center"/>
    </xf>
    <xf numFmtId="264" fontId="74" fillId="0" borderId="86" xfId="11" applyNumberFormat="1" applyFont="1" applyFill="1" applyBorder="1">
      <alignment vertical="center"/>
    </xf>
    <xf numFmtId="264" fontId="74" fillId="97" borderId="81" xfId="11" applyNumberFormat="1" applyFont="1" applyFill="1" applyBorder="1">
      <alignment vertical="center"/>
    </xf>
    <xf numFmtId="2" fontId="24" fillId="94" borderId="84" xfId="253" applyNumberFormat="1" applyFont="1" applyFill="1" applyBorder="1" applyAlignment="1">
      <alignment horizontal="right"/>
    </xf>
    <xf numFmtId="264" fontId="74" fillId="97" borderId="88" xfId="11" applyNumberFormat="1" applyFont="1" applyFill="1" applyBorder="1">
      <alignment vertical="center"/>
    </xf>
    <xf numFmtId="264" fontId="74" fillId="97" borderId="86" xfId="11" applyNumberFormat="1" applyFont="1" applyFill="1" applyBorder="1">
      <alignment vertical="center"/>
    </xf>
    <xf numFmtId="262" fontId="74" fillId="0" borderId="85" xfId="11" applyNumberFormat="1" applyFont="1" applyBorder="1" applyAlignment="1">
      <alignment horizontal="center" vertical="center"/>
    </xf>
    <xf numFmtId="2" fontId="74" fillId="0" borderId="85" xfId="11" applyNumberFormat="1" applyFont="1" applyBorder="1" applyAlignment="1">
      <alignment horizontal="right" vertical="center"/>
    </xf>
    <xf numFmtId="2" fontId="223" fillId="0" borderId="85" xfId="11" applyNumberFormat="1" applyFont="1" applyBorder="1" applyAlignment="1">
      <alignment horizontal="center" vertical="center"/>
    </xf>
    <xf numFmtId="2" fontId="24" fillId="98" borderId="0" xfId="253" applyNumberFormat="1" applyFont="1" applyFill="1"/>
    <xf numFmtId="2" fontId="74" fillId="94" borderId="84" xfId="11" applyNumberFormat="1" applyFont="1" applyFill="1" applyBorder="1">
      <alignment vertical="center"/>
    </xf>
    <xf numFmtId="0" fontId="74" fillId="0" borderId="133" xfId="11" applyFont="1" applyBorder="1">
      <alignment vertical="center"/>
    </xf>
    <xf numFmtId="262" fontId="74" fillId="0" borderId="2" xfId="11" applyNumberFormat="1" applyFont="1" applyBorder="1" applyAlignment="1">
      <alignment horizontal="center" vertical="center"/>
    </xf>
    <xf numFmtId="264" fontId="74" fillId="96" borderId="83" xfId="11" applyNumberFormat="1" applyFont="1" applyFill="1" applyBorder="1">
      <alignment vertical="center"/>
    </xf>
    <xf numFmtId="264" fontId="74" fillId="97" borderId="87" xfId="11" applyNumberFormat="1" applyFont="1" applyFill="1" applyBorder="1">
      <alignment vertical="center"/>
    </xf>
    <xf numFmtId="264" fontId="74" fillId="97" borderId="82" xfId="11" applyNumberFormat="1" applyFont="1" applyFill="1" applyBorder="1">
      <alignment vertical="center"/>
    </xf>
    <xf numFmtId="264" fontId="74" fillId="97" borderId="83" xfId="11" applyNumberFormat="1" applyFont="1" applyFill="1" applyBorder="1">
      <alignment vertical="center"/>
    </xf>
    <xf numFmtId="265" fontId="24" fillId="96" borderId="85" xfId="11" applyNumberFormat="1" applyFont="1" applyFill="1" applyBorder="1">
      <alignment vertical="center"/>
    </xf>
    <xf numFmtId="0" fontId="45" fillId="0" borderId="61" xfId="11" applyFont="1" applyBorder="1">
      <alignment vertical="center"/>
    </xf>
    <xf numFmtId="262" fontId="74" fillId="0" borderId="1" xfId="11" applyNumberFormat="1" applyFont="1" applyBorder="1" applyAlignment="1">
      <alignment horizontal="center" vertical="center"/>
    </xf>
    <xf numFmtId="262" fontId="74" fillId="0" borderId="82" xfId="11" applyNumberFormat="1" applyFont="1" applyBorder="1" applyAlignment="1">
      <alignment horizontal="right" vertical="center"/>
    </xf>
    <xf numFmtId="263" fontId="74" fillId="95" borderId="83" xfId="11" applyNumberFormat="1" applyFont="1" applyFill="1" applyBorder="1">
      <alignment vertical="center"/>
    </xf>
    <xf numFmtId="264" fontId="74" fillId="0" borderId="87" xfId="11" applyNumberFormat="1" applyFont="1" applyFill="1" applyBorder="1">
      <alignment vertical="center"/>
    </xf>
    <xf numFmtId="264" fontId="74" fillId="0" borderId="82" xfId="11" applyNumberFormat="1" applyFont="1" applyFill="1" applyBorder="1">
      <alignment vertical="center"/>
    </xf>
    <xf numFmtId="264" fontId="74" fillId="0" borderId="83" xfId="11" applyNumberFormat="1" applyFont="1" applyFill="1" applyBorder="1">
      <alignment vertical="center"/>
    </xf>
    <xf numFmtId="262" fontId="74" fillId="0" borderId="84" xfId="11" applyNumberFormat="1" applyFont="1" applyBorder="1" applyAlignment="1">
      <alignment horizontal="right" vertical="center"/>
    </xf>
    <xf numFmtId="0" fontId="74" fillId="0" borderId="61" xfId="11" applyFont="1" applyFill="1" applyBorder="1">
      <alignment vertical="center"/>
    </xf>
    <xf numFmtId="0" fontId="74" fillId="0" borderId="133" xfId="11" applyFont="1" applyFill="1" applyBorder="1">
      <alignment vertical="center"/>
    </xf>
    <xf numFmtId="0" fontId="74" fillId="0" borderId="88" xfId="11" applyFont="1" applyFill="1" applyBorder="1">
      <alignment vertical="center"/>
    </xf>
    <xf numFmtId="0" fontId="74" fillId="0" borderId="1" xfId="11" applyFont="1" applyFill="1" applyBorder="1">
      <alignment vertical="center"/>
    </xf>
    <xf numFmtId="0" fontId="74" fillId="0" borderId="82" xfId="11" applyFont="1" applyFill="1" applyBorder="1">
      <alignment vertical="center"/>
    </xf>
    <xf numFmtId="2" fontId="74" fillId="14" borderId="83" xfId="11" applyNumberFormat="1" applyFont="1" applyFill="1" applyBorder="1">
      <alignment vertical="center"/>
    </xf>
    <xf numFmtId="202" fontId="74" fillId="14" borderId="98" xfId="11" applyNumberFormat="1" applyFont="1" applyFill="1" applyBorder="1">
      <alignment vertical="center"/>
    </xf>
    <xf numFmtId="202" fontId="74" fillId="14" borderId="86" xfId="11" applyNumberFormat="1" applyFont="1" applyFill="1" applyBorder="1">
      <alignment vertical="center"/>
    </xf>
    <xf numFmtId="202" fontId="74" fillId="14" borderId="81" xfId="11" applyNumberFormat="1" applyFont="1" applyFill="1" applyBorder="1">
      <alignment vertical="center"/>
    </xf>
    <xf numFmtId="202" fontId="74" fillId="14" borderId="2" xfId="11" applyNumberFormat="1" applyFont="1" applyFill="1" applyBorder="1">
      <alignment vertical="center"/>
    </xf>
    <xf numFmtId="202" fontId="74" fillId="14" borderId="92" xfId="11" applyNumberFormat="1" applyFont="1" applyFill="1" applyBorder="1">
      <alignment vertical="center"/>
    </xf>
    <xf numFmtId="0" fontId="74" fillId="0" borderId="97" xfId="11" applyFont="1" applyFill="1" applyBorder="1">
      <alignment vertical="center"/>
    </xf>
    <xf numFmtId="0" fontId="74" fillId="0" borderId="40" xfId="11" applyFont="1" applyFill="1" applyBorder="1">
      <alignment vertical="center"/>
    </xf>
    <xf numFmtId="0" fontId="74" fillId="0" borderId="89" xfId="11" applyFont="1" applyFill="1" applyBorder="1">
      <alignment vertical="center"/>
    </xf>
    <xf numFmtId="0" fontId="74" fillId="0" borderId="134" xfId="11" applyFont="1" applyFill="1" applyBorder="1">
      <alignment vertical="center"/>
    </xf>
    <xf numFmtId="0" fontId="74" fillId="0" borderId="90" xfId="11" applyFont="1" applyFill="1" applyBorder="1">
      <alignment vertical="center"/>
    </xf>
    <xf numFmtId="2" fontId="74" fillId="14" borderId="30" xfId="11" applyNumberFormat="1" applyFont="1" applyFill="1" applyBorder="1">
      <alignment vertical="center"/>
    </xf>
    <xf numFmtId="264" fontId="74" fillId="97" borderId="89" xfId="11" applyNumberFormat="1" applyFont="1" applyFill="1" applyBorder="1">
      <alignment vertical="center"/>
    </xf>
    <xf numFmtId="264" fontId="74" fillId="97" borderId="90" xfId="11" applyNumberFormat="1" applyFont="1" applyFill="1" applyBorder="1">
      <alignment vertical="center"/>
    </xf>
    <xf numFmtId="264" fontId="74" fillId="97" borderId="91" xfId="11" applyNumberFormat="1" applyFont="1" applyFill="1" applyBorder="1">
      <alignment vertical="center"/>
    </xf>
    <xf numFmtId="202" fontId="74" fillId="14" borderId="97" xfId="11" applyNumberFormat="1" applyFont="1" applyFill="1" applyBorder="1">
      <alignment vertical="center"/>
    </xf>
    <xf numFmtId="202" fontId="74" fillId="14" borderId="30" xfId="11" applyNumberFormat="1" applyFont="1" applyFill="1" applyBorder="1">
      <alignment vertical="center"/>
    </xf>
    <xf numFmtId="202" fontId="74" fillId="14" borderId="91" xfId="11" applyNumberFormat="1" applyFont="1" applyFill="1" applyBorder="1">
      <alignment vertical="center"/>
    </xf>
    <xf numFmtId="202" fontId="74" fillId="14" borderId="28" xfId="11" applyNumberFormat="1" applyFont="1" applyFill="1" applyBorder="1">
      <alignment vertical="center"/>
    </xf>
    <xf numFmtId="0" fontId="74" fillId="0" borderId="49" xfId="11" applyFont="1" applyFill="1" applyBorder="1" applyAlignment="1">
      <alignment horizontal="center" vertical="center"/>
    </xf>
    <xf numFmtId="0" fontId="74" fillId="0" borderId="50" xfId="11" applyFont="1" applyBorder="1">
      <alignment vertical="center"/>
    </xf>
    <xf numFmtId="0" fontId="74" fillId="0" borderId="50" xfId="11" applyFont="1" applyFill="1" applyBorder="1">
      <alignment vertical="center"/>
    </xf>
    <xf numFmtId="265" fontId="74" fillId="96" borderId="44" xfId="11" applyNumberFormat="1" applyFont="1" applyFill="1" applyBorder="1">
      <alignment vertical="center"/>
    </xf>
    <xf numFmtId="265" fontId="74" fillId="96" borderId="45" xfId="11" applyNumberFormat="1" applyFont="1" applyFill="1" applyBorder="1">
      <alignment vertical="center"/>
    </xf>
    <xf numFmtId="265" fontId="74" fillId="96" borderId="46" xfId="11" applyNumberFormat="1" applyFont="1" applyFill="1" applyBorder="1">
      <alignment vertical="center"/>
    </xf>
    <xf numFmtId="266" fontId="74" fillId="96" borderId="44" xfId="11" applyNumberFormat="1" applyFont="1" applyFill="1" applyBorder="1">
      <alignment vertical="center"/>
    </xf>
    <xf numFmtId="266" fontId="74" fillId="96" borderId="56" xfId="11" applyNumberFormat="1" applyFont="1" applyFill="1" applyBorder="1">
      <alignment vertical="center"/>
    </xf>
    <xf numFmtId="0" fontId="74" fillId="0" borderId="0" xfId="11" applyFont="1" applyFill="1" applyBorder="1" applyAlignment="1">
      <alignment horizontal="center" vertical="center"/>
    </xf>
    <xf numFmtId="0" fontId="74" fillId="0" borderId="0" xfId="11" applyFont="1" applyBorder="1">
      <alignment vertical="center"/>
    </xf>
    <xf numFmtId="0" fontId="74" fillId="0" borderId="0" xfId="11" applyFont="1" applyFill="1" applyBorder="1">
      <alignment vertical="center"/>
    </xf>
    <xf numFmtId="0" fontId="57" fillId="0" borderId="0" xfId="11" applyFont="1">
      <alignment vertical="center"/>
    </xf>
    <xf numFmtId="0" fontId="57" fillId="0" borderId="0" xfId="11" applyNumberFormat="1" applyFont="1">
      <alignment vertical="center"/>
    </xf>
    <xf numFmtId="191" fontId="57" fillId="0" borderId="0" xfId="11" applyNumberFormat="1" applyFont="1" applyFill="1" applyBorder="1">
      <alignment vertical="center"/>
    </xf>
    <xf numFmtId="0" fontId="57" fillId="0" borderId="0" xfId="11" applyFont="1" applyFill="1" applyBorder="1">
      <alignment vertical="center"/>
    </xf>
    <xf numFmtId="265" fontId="57" fillId="0" borderId="0" xfId="11" applyNumberFormat="1" applyFont="1" applyFill="1" applyBorder="1">
      <alignment vertical="center"/>
    </xf>
    <xf numFmtId="191" fontId="76" fillId="0" borderId="0" xfId="11" applyNumberFormat="1">
      <alignment vertical="center"/>
    </xf>
    <xf numFmtId="0" fontId="330" fillId="0" borderId="0" xfId="11" applyFont="1" applyAlignment="1">
      <alignment horizontal="right" vertical="center"/>
    </xf>
    <xf numFmtId="0" fontId="331" fillId="0" borderId="0" xfId="11" applyFont="1" applyAlignment="1">
      <alignment horizontal="left" vertical="center"/>
    </xf>
    <xf numFmtId="1" fontId="47" fillId="2" borderId="0" xfId="8" quotePrefix="1" applyNumberFormat="1" applyFont="1" applyFill="1" applyAlignment="1">
      <alignment horizontal="center"/>
    </xf>
    <xf numFmtId="1" fontId="74" fillId="2" borderId="0" xfId="8" applyNumberFormat="1" applyFont="1" applyFill="1" applyAlignment="1">
      <alignment horizontal="right"/>
    </xf>
    <xf numFmtId="0" fontId="74" fillId="0" borderId="20" xfId="11" applyFont="1" applyBorder="1" applyAlignment="1">
      <alignment horizontal="center" vertical="center"/>
    </xf>
    <xf numFmtId="0" fontId="74" fillId="0" borderId="21" xfId="11" applyFont="1" applyBorder="1" applyAlignment="1">
      <alignment horizontal="center" vertical="center"/>
    </xf>
    <xf numFmtId="2" fontId="24" fillId="94" borderId="90" xfId="4514" applyNumberFormat="1" applyFont="1" applyFill="1" applyBorder="1"/>
    <xf numFmtId="191" fontId="48" fillId="0" borderId="0" xfId="1" applyNumberFormat="1" applyFont="1" applyFill="1" applyBorder="1" applyAlignment="1">
      <alignment horizontal="center"/>
    </xf>
    <xf numFmtId="255" fontId="49" fillId="2" borderId="0" xfId="0" applyNumberFormat="1" applyFont="1" applyFill="1" applyBorder="1" applyAlignment="1">
      <alignment horizontal="right" vertical="center"/>
    </xf>
    <xf numFmtId="191" fontId="53" fillId="80" borderId="86" xfId="0" applyNumberFormat="1" applyFont="1" applyFill="1" applyBorder="1" applyAlignment="1">
      <alignment horizontal="center" vertical="center"/>
    </xf>
    <xf numFmtId="191" fontId="53" fillId="80" borderId="85" xfId="0" applyNumberFormat="1" applyFont="1" applyFill="1" applyBorder="1" applyAlignment="1">
      <alignment horizontal="center" vertical="center"/>
    </xf>
    <xf numFmtId="191" fontId="53" fillId="71" borderId="86" xfId="0" applyNumberFormat="1" applyFont="1" applyFill="1" applyBorder="1" applyAlignment="1">
      <alignment horizontal="center" vertical="center"/>
    </xf>
    <xf numFmtId="191" fontId="53" fillId="71" borderId="85" xfId="0" applyNumberFormat="1" applyFont="1" applyFill="1" applyBorder="1" applyAlignment="1">
      <alignment horizontal="center" vertical="center"/>
    </xf>
    <xf numFmtId="189" fontId="175" fillId="79" borderId="86" xfId="4" applyNumberFormat="1" applyFont="1" applyFill="1" applyBorder="1" applyAlignment="1">
      <alignment horizontal="center" vertical="center"/>
    </xf>
    <xf numFmtId="189" fontId="175" fillId="79" borderId="98" xfId="4" applyNumberFormat="1" applyFont="1" applyFill="1" applyBorder="1" applyAlignment="1">
      <alignment horizontal="center" vertical="center"/>
    </xf>
    <xf numFmtId="189" fontId="175" fillId="79" borderId="85" xfId="4" applyNumberFormat="1" applyFont="1" applyFill="1" applyBorder="1" applyAlignment="1">
      <alignment horizontal="center" vertical="center"/>
    </xf>
    <xf numFmtId="0" fontId="259" fillId="70" borderId="86" xfId="0" applyFont="1" applyFill="1" applyBorder="1" applyAlignment="1">
      <alignment horizontal="center" vertical="center"/>
    </xf>
    <xf numFmtId="0" fontId="259" fillId="70" borderId="85" xfId="0" applyFont="1" applyFill="1" applyBorder="1" applyAlignment="1">
      <alignment horizontal="center" vertical="center"/>
    </xf>
    <xf numFmtId="191" fontId="53" fillId="6" borderId="84" xfId="0" applyNumberFormat="1" applyFont="1" applyFill="1" applyBorder="1" applyAlignment="1">
      <alignment horizontal="center" vertical="center" wrapText="1"/>
    </xf>
    <xf numFmtId="191" fontId="251" fillId="77" borderId="86" xfId="0" applyNumberFormat="1" applyFont="1" applyFill="1" applyBorder="1" applyAlignment="1">
      <alignment horizontal="center" vertical="center"/>
    </xf>
    <xf numFmtId="191" fontId="251" fillId="77" borderId="85" xfId="0" applyNumberFormat="1" applyFont="1" applyFill="1" applyBorder="1" applyAlignment="1">
      <alignment horizontal="center" vertical="center"/>
    </xf>
    <xf numFmtId="191" fontId="55" fillId="0" borderId="86" xfId="0" applyNumberFormat="1" applyFont="1" applyFill="1" applyBorder="1" applyAlignment="1">
      <alignment horizontal="center" vertical="center"/>
    </xf>
    <xf numFmtId="191" fontId="55" fillId="0" borderId="85" xfId="0" applyNumberFormat="1" applyFont="1" applyFill="1" applyBorder="1" applyAlignment="1">
      <alignment horizontal="center" vertical="center"/>
    </xf>
    <xf numFmtId="191" fontId="53" fillId="5" borderId="86" xfId="0" applyNumberFormat="1" applyFont="1" applyFill="1" applyBorder="1" applyAlignment="1">
      <alignment horizontal="center" vertical="center"/>
    </xf>
    <xf numFmtId="191" fontId="53" fillId="5" borderId="85" xfId="0" applyNumberFormat="1" applyFont="1" applyFill="1" applyBorder="1" applyAlignment="1">
      <alignment horizontal="center" vertical="center"/>
    </xf>
    <xf numFmtId="0" fontId="53" fillId="3" borderId="86" xfId="0" applyFont="1" applyFill="1" applyBorder="1" applyAlignment="1">
      <alignment horizontal="center" vertical="center" wrapText="1"/>
    </xf>
    <xf numFmtId="0" fontId="53" fillId="3" borderId="85" xfId="0" applyFont="1" applyFill="1" applyBorder="1" applyAlignment="1">
      <alignment horizontal="center" vertical="center" wrapText="1"/>
    </xf>
    <xf numFmtId="191" fontId="53" fillId="6" borderId="86" xfId="0" applyNumberFormat="1" applyFont="1" applyFill="1" applyBorder="1" applyAlignment="1">
      <alignment horizontal="center" vertical="center" wrapText="1"/>
    </xf>
    <xf numFmtId="191" fontId="53" fillId="6" borderId="85" xfId="0" applyNumberFormat="1" applyFont="1" applyFill="1" applyBorder="1" applyAlignment="1">
      <alignment horizontal="center" vertical="center" wrapText="1"/>
    </xf>
    <xf numFmtId="191" fontId="53" fillId="6" borderId="86" xfId="0" applyNumberFormat="1" applyFont="1" applyFill="1" applyBorder="1" applyAlignment="1">
      <alignment horizontal="center" vertical="center"/>
    </xf>
    <xf numFmtId="191" fontId="53" fillId="6" borderId="85" xfId="0" applyNumberFormat="1" applyFont="1" applyFill="1" applyBorder="1" applyAlignment="1">
      <alignment horizontal="center" vertical="center"/>
    </xf>
    <xf numFmtId="191" fontId="53" fillId="6" borderId="84" xfId="0" applyNumberFormat="1" applyFont="1" applyFill="1" applyBorder="1" applyAlignment="1">
      <alignment horizontal="center" vertical="center"/>
    </xf>
    <xf numFmtId="191" fontId="53" fillId="71" borderId="98" xfId="0" applyNumberFormat="1" applyFont="1" applyFill="1" applyBorder="1" applyAlignment="1">
      <alignment horizontal="center" vertical="center"/>
    </xf>
    <xf numFmtId="191" fontId="53" fillId="80" borderId="98" xfId="0" applyNumberFormat="1" applyFont="1" applyFill="1" applyBorder="1" applyAlignment="1">
      <alignment horizontal="center" vertical="center"/>
    </xf>
    <xf numFmtId="191" fontId="53" fillId="6" borderId="98" xfId="0" applyNumberFormat="1" applyFont="1" applyFill="1" applyBorder="1" applyAlignment="1">
      <alignment horizontal="center" vertical="center" wrapText="1"/>
    </xf>
    <xf numFmtId="191" fontId="53" fillId="5" borderId="98" xfId="0" applyNumberFormat="1" applyFont="1" applyFill="1" applyBorder="1" applyAlignment="1">
      <alignment horizontal="center" vertical="center"/>
    </xf>
    <xf numFmtId="191" fontId="53" fillId="14" borderId="86" xfId="0" applyNumberFormat="1" applyFont="1" applyFill="1" applyBorder="1" applyAlignment="1">
      <alignment horizontal="center" vertical="center"/>
    </xf>
    <xf numFmtId="191" fontId="53" fillId="14" borderId="85" xfId="0" applyNumberFormat="1" applyFont="1" applyFill="1" applyBorder="1" applyAlignment="1">
      <alignment horizontal="center" vertical="center"/>
    </xf>
    <xf numFmtId="191" fontId="53" fillId="5" borderId="82" xfId="0" applyNumberFormat="1" applyFont="1" applyFill="1" applyBorder="1" applyAlignment="1">
      <alignment horizontal="center" vertical="center"/>
    </xf>
    <xf numFmtId="191" fontId="53" fillId="5" borderId="12" xfId="0" applyNumberFormat="1" applyFont="1" applyFill="1" applyBorder="1" applyAlignment="1">
      <alignment horizontal="center" vertical="center"/>
    </xf>
    <xf numFmtId="191" fontId="53" fillId="5" borderId="10" xfId="0" applyNumberFormat="1" applyFont="1" applyFill="1" applyBorder="1" applyAlignment="1">
      <alignment horizontal="center" vertical="center"/>
    </xf>
    <xf numFmtId="191" fontId="53" fillId="5" borderId="84" xfId="0" applyNumberFormat="1" applyFont="1" applyFill="1" applyBorder="1" applyAlignment="1">
      <alignment horizontal="center" vertical="center"/>
    </xf>
    <xf numFmtId="191" fontId="53" fillId="78" borderId="82" xfId="0" applyNumberFormat="1" applyFont="1" applyFill="1" applyBorder="1" applyAlignment="1">
      <alignment horizontal="center" vertical="center"/>
    </xf>
    <xf numFmtId="191" fontId="53" fillId="78" borderId="12" xfId="0" applyNumberFormat="1" applyFont="1" applyFill="1" applyBorder="1" applyAlignment="1">
      <alignment horizontal="center" vertical="center"/>
    </xf>
    <xf numFmtId="191" fontId="53" fillId="78" borderId="10" xfId="0" applyNumberFormat="1" applyFont="1" applyFill="1" applyBorder="1" applyAlignment="1">
      <alignment horizontal="center" vertical="center"/>
    </xf>
    <xf numFmtId="191" fontId="141" fillId="78" borderId="82" xfId="0" quotePrefix="1" applyNumberFormat="1" applyFont="1" applyFill="1" applyBorder="1" applyAlignment="1">
      <alignment horizontal="center" vertical="center" wrapText="1"/>
    </xf>
    <xf numFmtId="191" fontId="141" fillId="78" borderId="12" xfId="0" quotePrefix="1" applyNumberFormat="1" applyFont="1" applyFill="1" applyBorder="1" applyAlignment="1">
      <alignment horizontal="center" vertical="center" wrapText="1"/>
    </xf>
    <xf numFmtId="191" fontId="141" fillId="78" borderId="10" xfId="0" quotePrefix="1" applyNumberFormat="1" applyFont="1" applyFill="1" applyBorder="1" applyAlignment="1">
      <alignment horizontal="center" vertical="center" wrapText="1"/>
    </xf>
    <xf numFmtId="191" fontId="251" fillId="78" borderId="82" xfId="0" quotePrefix="1" applyNumberFormat="1" applyFont="1" applyFill="1" applyBorder="1" applyAlignment="1">
      <alignment horizontal="center" vertical="center" wrapText="1"/>
    </xf>
    <xf numFmtId="191" fontId="251" fillId="78" borderId="12" xfId="0" quotePrefix="1" applyNumberFormat="1" applyFont="1" applyFill="1" applyBorder="1" applyAlignment="1">
      <alignment horizontal="center" vertical="center" wrapText="1"/>
    </xf>
    <xf numFmtId="191" fontId="251" fillId="78" borderId="10" xfId="0" quotePrefix="1" applyNumberFormat="1" applyFont="1" applyFill="1" applyBorder="1" applyAlignment="1">
      <alignment horizontal="center" vertical="center" wrapText="1"/>
    </xf>
    <xf numFmtId="191" fontId="315" fillId="0" borderId="0" xfId="0" applyNumberFormat="1" applyFont="1" applyFill="1" applyBorder="1" applyAlignment="1">
      <alignment horizontal="center" vertical="center"/>
    </xf>
    <xf numFmtId="191" fontId="53" fillId="6" borderId="82" xfId="0" applyNumberFormat="1" applyFont="1" applyFill="1" applyBorder="1" applyAlignment="1">
      <alignment horizontal="center" vertical="center" wrapText="1"/>
    </xf>
    <xf numFmtId="191" fontId="53" fillId="6" borderId="10" xfId="0" applyNumberFormat="1" applyFont="1" applyFill="1" applyBorder="1" applyAlignment="1">
      <alignment horizontal="center" vertical="center" wrapText="1"/>
    </xf>
    <xf numFmtId="0" fontId="78" fillId="15" borderId="82" xfId="0" applyFont="1" applyFill="1" applyBorder="1" applyAlignment="1">
      <alignment horizontal="center" vertical="top"/>
    </xf>
    <xf numFmtId="0" fontId="78" fillId="15" borderId="12" xfId="0" applyFont="1" applyFill="1" applyBorder="1" applyAlignment="1">
      <alignment horizontal="center" vertical="top"/>
    </xf>
    <xf numFmtId="0" fontId="78" fillId="15" borderId="10" xfId="0" applyFont="1" applyFill="1" applyBorder="1" applyAlignment="1">
      <alignment horizontal="center" vertical="top"/>
    </xf>
    <xf numFmtId="0" fontId="78" fillId="14" borderId="82" xfId="0" applyFont="1" applyFill="1" applyBorder="1" applyAlignment="1">
      <alignment horizontal="center" vertical="top"/>
    </xf>
    <xf numFmtId="0" fontId="78" fillId="14" borderId="12" xfId="0" applyFont="1" applyFill="1" applyBorder="1" applyAlignment="1">
      <alignment horizontal="center" vertical="top"/>
    </xf>
    <xf numFmtId="0" fontId="78" fillId="14" borderId="10" xfId="0" applyFont="1" applyFill="1" applyBorder="1" applyAlignment="1">
      <alignment horizontal="center" vertical="top"/>
    </xf>
    <xf numFmtId="0" fontId="78" fillId="8" borderId="82" xfId="0" applyFont="1" applyFill="1" applyBorder="1" applyAlignment="1">
      <alignment horizontal="center" vertical="top"/>
    </xf>
    <xf numFmtId="0" fontId="78" fillId="8" borderId="10" xfId="0" applyFont="1" applyFill="1" applyBorder="1" applyAlignment="1">
      <alignment horizontal="center" vertical="top"/>
    </xf>
    <xf numFmtId="191" fontId="53" fillId="0" borderId="86" xfId="0" applyNumberFormat="1" applyFont="1" applyFill="1" applyBorder="1" applyAlignment="1">
      <alignment horizontal="center" vertical="center"/>
    </xf>
    <xf numFmtId="191" fontId="53" fillId="0" borderId="85" xfId="0" applyNumberFormat="1" applyFont="1" applyFill="1" applyBorder="1" applyAlignment="1">
      <alignment horizontal="center" vertical="center"/>
    </xf>
    <xf numFmtId="0" fontId="81" fillId="70" borderId="84" xfId="0" applyFont="1" applyFill="1" applyBorder="1" applyAlignment="1">
      <alignment horizontal="center"/>
    </xf>
    <xf numFmtId="189" fontId="175" fillId="79" borderId="86" xfId="4" applyNumberFormat="1" applyFont="1" applyFill="1" applyBorder="1" applyAlignment="1">
      <alignment horizontal="center"/>
    </xf>
    <xf numFmtId="189" fontId="175" fillId="79" borderId="98" xfId="4" applyNumberFormat="1" applyFont="1" applyFill="1" applyBorder="1" applyAlignment="1">
      <alignment horizontal="center"/>
    </xf>
    <xf numFmtId="189" fontId="175" fillId="79" borderId="85" xfId="4" applyNumberFormat="1" applyFont="1" applyFill="1" applyBorder="1" applyAlignment="1">
      <alignment horizontal="center"/>
    </xf>
    <xf numFmtId="191" fontId="141" fillId="5" borderId="82" xfId="0" applyNumberFormat="1" applyFont="1" applyFill="1" applyBorder="1" applyAlignment="1">
      <alignment horizontal="center" vertical="center" wrapText="1"/>
    </xf>
    <xf numFmtId="191" fontId="141" fillId="5" borderId="12" xfId="0" applyNumberFormat="1" applyFont="1" applyFill="1" applyBorder="1" applyAlignment="1">
      <alignment horizontal="center" vertical="center"/>
    </xf>
    <xf numFmtId="191" fontId="141" fillId="5" borderId="10" xfId="0" applyNumberFormat="1" applyFont="1" applyFill="1" applyBorder="1" applyAlignment="1">
      <alignment horizontal="center" vertical="center"/>
    </xf>
    <xf numFmtId="191" fontId="53" fillId="5" borderId="83" xfId="0" applyNumberFormat="1" applyFont="1" applyFill="1" applyBorder="1" applyAlignment="1">
      <alignment horizontal="center" vertical="center"/>
    </xf>
    <xf numFmtId="191" fontId="53" fillId="5" borderId="2" xfId="0" applyNumberFormat="1" applyFont="1" applyFill="1" applyBorder="1" applyAlignment="1">
      <alignment horizontal="center" vertical="center"/>
    </xf>
    <xf numFmtId="189" fontId="175" fillId="12" borderId="84" xfId="4" applyNumberFormat="1" applyFont="1" applyFill="1" applyBorder="1" applyAlignment="1">
      <alignment horizontal="center"/>
    </xf>
    <xf numFmtId="0" fontId="78" fillId="18" borderId="82" xfId="0" applyFont="1" applyFill="1" applyBorder="1" applyAlignment="1">
      <alignment horizontal="center" vertical="top"/>
    </xf>
    <xf numFmtId="0" fontId="78" fillId="18" borderId="12" xfId="0" applyFont="1" applyFill="1" applyBorder="1" applyAlignment="1">
      <alignment horizontal="center" vertical="top"/>
    </xf>
    <xf numFmtId="0" fontId="78" fillId="18" borderId="10" xfId="0" applyFont="1" applyFill="1" applyBorder="1" applyAlignment="1">
      <alignment horizontal="center" vertical="top"/>
    </xf>
    <xf numFmtId="0" fontId="78" fillId="76" borderId="82" xfId="0" applyFont="1" applyFill="1" applyBorder="1" applyAlignment="1">
      <alignment horizontal="center" vertical="top"/>
    </xf>
    <xf numFmtId="0" fontId="78" fillId="76" borderId="12" xfId="0" applyFont="1" applyFill="1" applyBorder="1" applyAlignment="1">
      <alignment horizontal="center" vertical="top"/>
    </xf>
    <xf numFmtId="0" fontId="78" fillId="76" borderId="10" xfId="0" applyFont="1" applyFill="1" applyBorder="1" applyAlignment="1">
      <alignment horizontal="center" vertical="top"/>
    </xf>
    <xf numFmtId="237" fontId="278" fillId="15" borderId="86" xfId="2454" applyFont="1" applyFill="1" applyBorder="1" applyAlignment="1">
      <alignment horizontal="center"/>
    </xf>
    <xf numFmtId="237" fontId="278" fillId="15" borderId="98" xfId="2454" applyFont="1" applyFill="1" applyBorder="1" applyAlignment="1">
      <alignment horizontal="center"/>
    </xf>
    <xf numFmtId="237" fontId="278" fillId="15" borderId="85" xfId="2454" applyFont="1" applyFill="1" applyBorder="1" applyAlignment="1">
      <alignment horizontal="center"/>
    </xf>
    <xf numFmtId="0" fontId="0" fillId="0" borderId="0" xfId="1" applyNumberFormat="1" applyFont="1" applyAlignment="1">
      <alignment horizontal="left" wrapText="1"/>
    </xf>
    <xf numFmtId="2" fontId="70" fillId="2" borderId="0" xfId="8" applyNumberFormat="1" applyFont="1" applyFill="1" applyBorder="1" applyAlignment="1">
      <alignment horizontal="center" vertical="center" wrapText="1"/>
    </xf>
    <xf numFmtId="2" fontId="70" fillId="2" borderId="13" xfId="8" applyNumberFormat="1" applyFont="1" applyFill="1" applyBorder="1" applyAlignment="1">
      <alignment horizontal="center" vertical="center" wrapText="1"/>
    </xf>
    <xf numFmtId="1" fontId="44" fillId="13" borderId="8" xfId="8" applyNumberFormat="1" applyFont="1" applyFill="1" applyBorder="1" applyAlignment="1">
      <alignment horizontal="center"/>
    </xf>
    <xf numFmtId="0" fontId="46" fillId="14" borderId="8" xfId="8" applyFont="1" applyFill="1" applyBorder="1" applyAlignment="1">
      <alignment horizontal="center" vertical="center" wrapText="1"/>
    </xf>
    <xf numFmtId="2" fontId="46" fillId="9" borderId="8" xfId="8" applyNumberFormat="1" applyFont="1" applyFill="1" applyBorder="1" applyAlignment="1">
      <alignment horizontal="center" vertical="center" wrapText="1"/>
    </xf>
    <xf numFmtId="191" fontId="84" fillId="0" borderId="0" xfId="12" applyNumberFormat="1" applyFont="1" applyFill="1" applyBorder="1" applyAlignment="1" applyProtection="1">
      <alignment horizontal="center" vertical="center" wrapText="1"/>
    </xf>
    <xf numFmtId="191" fontId="0" fillId="0" borderId="0" xfId="0" applyNumberFormat="1" applyFill="1" applyBorder="1" applyAlignment="1">
      <alignment horizontal="center"/>
    </xf>
    <xf numFmtId="0" fontId="79" fillId="20" borderId="19" xfId="0" applyFont="1" applyFill="1" applyBorder="1" applyAlignment="1">
      <alignment horizontal="center" vertical="center"/>
    </xf>
    <xf numFmtId="0" fontId="79" fillId="20" borderId="53" xfId="0" applyFont="1" applyFill="1" applyBorder="1" applyAlignment="1">
      <alignment horizontal="center" vertical="center"/>
    </xf>
    <xf numFmtId="0" fontId="79" fillId="20" borderId="39" xfId="0" applyFont="1" applyFill="1" applyBorder="1" applyAlignment="1">
      <alignment horizontal="center" vertical="center"/>
    </xf>
    <xf numFmtId="0" fontId="79" fillId="21" borderId="47" xfId="0" applyFont="1" applyFill="1" applyBorder="1" applyAlignment="1">
      <alignment horizontal="center"/>
    </xf>
    <xf numFmtId="0" fontId="79" fillId="21" borderId="52" xfId="0" applyFont="1" applyFill="1" applyBorder="1" applyAlignment="1">
      <alignment horizontal="center"/>
    </xf>
    <xf numFmtId="0" fontId="79" fillId="21" borderId="48" xfId="0" applyFont="1" applyFill="1" applyBorder="1" applyAlignment="1">
      <alignment horizontal="center"/>
    </xf>
    <xf numFmtId="0" fontId="79" fillId="17" borderId="67" xfId="0" applyFont="1" applyFill="1" applyBorder="1" applyAlignment="1">
      <alignment horizontal="center"/>
    </xf>
    <xf numFmtId="0" fontId="79" fillId="17" borderId="18" xfId="0" applyFont="1" applyFill="1" applyBorder="1" applyAlignment="1">
      <alignment horizontal="center"/>
    </xf>
    <xf numFmtId="0" fontId="79" fillId="17" borderId="22" xfId="0" applyFont="1" applyFill="1" applyBorder="1" applyAlignment="1">
      <alignment horizontal="center"/>
    </xf>
    <xf numFmtId="191" fontId="0" fillId="0" borderId="0" xfId="0" applyNumberFormat="1" applyFill="1" applyBorder="1" applyAlignment="1">
      <alignment horizontal="center" vertical="center" wrapText="1"/>
    </xf>
    <xf numFmtId="0" fontId="79" fillId="21" borderId="19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79" fillId="21" borderId="36" xfId="0" applyFont="1" applyFill="1" applyBorder="1" applyAlignment="1">
      <alignment horizontal="center" vertical="center" wrapText="1"/>
    </xf>
    <xf numFmtId="0" fontId="79" fillId="21" borderId="30" xfId="0" applyFont="1" applyFill="1" applyBorder="1" applyAlignment="1">
      <alignment horizontal="center" vertical="center" wrapText="1"/>
    </xf>
    <xf numFmtId="0" fontId="79" fillId="17" borderId="19" xfId="0" applyFont="1" applyFill="1" applyBorder="1" applyAlignment="1">
      <alignment horizontal="center" vertical="center" wrapText="1"/>
    </xf>
    <xf numFmtId="0" fontId="79" fillId="17" borderId="37" xfId="0" applyFont="1" applyFill="1" applyBorder="1" applyAlignment="1">
      <alignment horizontal="center" vertical="center" wrapText="1"/>
    </xf>
    <xf numFmtId="0" fontId="79" fillId="17" borderId="32" xfId="0" applyFont="1" applyFill="1" applyBorder="1" applyAlignment="1">
      <alignment horizontal="center" vertical="center" wrapText="1"/>
    </xf>
    <xf numFmtId="266" fontId="74" fillId="96" borderId="64" xfId="11" applyNumberFormat="1" applyFont="1" applyFill="1" applyBorder="1" applyAlignment="1">
      <alignment horizontal="center" vertical="center"/>
    </xf>
    <xf numFmtId="0" fontId="74" fillId="0" borderId="15" xfId="11" applyFont="1" applyBorder="1" applyAlignment="1">
      <alignment horizontal="center" vertical="center"/>
    </xf>
    <xf numFmtId="0" fontId="74" fillId="0" borderId="23" xfId="11" applyFont="1" applyBorder="1" applyAlignment="1">
      <alignment horizontal="center" vertical="center"/>
    </xf>
    <xf numFmtId="0" fontId="74" fillId="0" borderId="26" xfId="11" applyFont="1" applyBorder="1" applyAlignment="1">
      <alignment horizontal="center" vertical="center"/>
    </xf>
    <xf numFmtId="0" fontId="74" fillId="0" borderId="16" xfId="11" applyFont="1" applyBorder="1" applyAlignment="1">
      <alignment horizontal="center" vertical="center"/>
    </xf>
    <xf numFmtId="0" fontId="74" fillId="0" borderId="131" xfId="11" applyFont="1" applyBorder="1" applyAlignment="1">
      <alignment horizontal="center" vertical="center"/>
    </xf>
    <xf numFmtId="0" fontId="74" fillId="0" borderId="27" xfId="11" applyFont="1" applyBorder="1" applyAlignment="1">
      <alignment horizontal="center" vertical="center"/>
    </xf>
    <xf numFmtId="0" fontId="74" fillId="0" borderId="17" xfId="11" applyFont="1" applyBorder="1" applyAlignment="1">
      <alignment horizontal="center" vertical="center" wrapText="1"/>
    </xf>
    <xf numFmtId="0" fontId="74" fillId="0" borderId="14" xfId="11" applyFont="1" applyBorder="1" applyAlignment="1">
      <alignment horizontal="center" vertical="center" wrapText="1"/>
    </xf>
    <xf numFmtId="0" fontId="74" fillId="0" borderId="18" xfId="11" applyFont="1" applyBorder="1" applyAlignment="1">
      <alignment horizontal="center" vertical="center" wrapText="1"/>
    </xf>
    <xf numFmtId="0" fontId="74" fillId="0" borderId="10" xfId="11" applyFont="1" applyBorder="1" applyAlignment="1">
      <alignment horizontal="center" vertical="center" wrapText="1"/>
    </xf>
    <xf numFmtId="0" fontId="74" fillId="0" borderId="18" xfId="11" applyFont="1" applyBorder="1" applyAlignment="1">
      <alignment horizontal="center" vertical="center"/>
    </xf>
    <xf numFmtId="0" fontId="74" fillId="0" borderId="10" xfId="11" applyFont="1" applyBorder="1" applyAlignment="1">
      <alignment horizontal="center" vertical="center"/>
    </xf>
    <xf numFmtId="0" fontId="74" fillId="0" borderId="130" xfId="11" applyFont="1" applyBorder="1" applyAlignment="1">
      <alignment horizontal="center" vertical="center"/>
    </xf>
    <xf numFmtId="0" fontId="74" fillId="0" borderId="11" xfId="11" applyFont="1" applyBorder="1" applyAlignment="1">
      <alignment horizontal="center" vertical="center"/>
    </xf>
    <xf numFmtId="0" fontId="74" fillId="0" borderId="19" xfId="11" applyFont="1" applyBorder="1" applyAlignment="1">
      <alignment horizontal="center" vertical="center"/>
    </xf>
    <xf numFmtId="0" fontId="74" fillId="0" borderId="20" xfId="11" applyFont="1" applyBorder="1" applyAlignment="1">
      <alignment horizontal="center" vertical="center"/>
    </xf>
    <xf numFmtId="0" fontId="74" fillId="0" borderId="21" xfId="11" applyFont="1" applyBorder="1" applyAlignment="1">
      <alignment horizontal="center" vertical="center"/>
    </xf>
    <xf numFmtId="0" fontId="74" fillId="0" borderId="17" xfId="11" applyFont="1" applyBorder="1" applyAlignment="1">
      <alignment horizontal="center" vertical="center"/>
    </xf>
    <xf numFmtId="0" fontId="74" fillId="0" borderId="14" xfId="11" applyFont="1" applyBorder="1" applyAlignment="1">
      <alignment horizontal="center" vertical="center"/>
    </xf>
    <xf numFmtId="0" fontId="74" fillId="0" borderId="22" xfId="11" applyFont="1" applyBorder="1" applyAlignment="1">
      <alignment horizontal="center" vertical="center"/>
    </xf>
    <xf numFmtId="0" fontId="74" fillId="0" borderId="25" xfId="11" applyFont="1" applyBorder="1" applyAlignment="1">
      <alignment horizontal="center" vertical="center"/>
    </xf>
    <xf numFmtId="192" fontId="94" fillId="0" borderId="18" xfId="1" applyNumberFormat="1" applyFont="1" applyFill="1" applyBorder="1" applyAlignment="1">
      <alignment horizontal="center" vertical="center" wrapText="1"/>
    </xf>
    <xf numFmtId="192" fontId="94" fillId="0" borderId="45" xfId="1" applyNumberFormat="1" applyFont="1" applyFill="1" applyBorder="1" applyAlignment="1">
      <alignment horizontal="center" vertical="center" wrapText="1"/>
    </xf>
    <xf numFmtId="192" fontId="94" fillId="0" borderId="58" xfId="1" applyNumberFormat="1" applyFont="1" applyFill="1" applyBorder="1" applyAlignment="1">
      <alignment horizontal="center" vertical="top" wrapText="1"/>
    </xf>
    <xf numFmtId="192" fontId="94" fillId="0" borderId="0" xfId="1" applyNumberFormat="1" applyFont="1" applyFill="1" applyBorder="1" applyAlignment="1">
      <alignment horizontal="center" vertical="top" wrapText="1"/>
    </xf>
    <xf numFmtId="192" fontId="94" fillId="0" borderId="131" xfId="1" applyNumberFormat="1" applyFont="1" applyFill="1" applyBorder="1" applyAlignment="1">
      <alignment horizontal="center" vertical="top" wrapText="1"/>
    </xf>
    <xf numFmtId="192" fontId="94" fillId="0" borderId="49" xfId="1" applyNumberFormat="1" applyFont="1" applyFill="1" applyBorder="1" applyAlignment="1">
      <alignment horizontal="center" vertical="top" wrapText="1"/>
    </xf>
    <xf numFmtId="192" fontId="94" fillId="0" borderId="50" xfId="1" applyNumberFormat="1" applyFont="1" applyFill="1" applyBorder="1" applyAlignment="1">
      <alignment horizontal="center" vertical="top" wrapText="1"/>
    </xf>
    <xf numFmtId="192" fontId="94" fillId="0" borderId="27" xfId="1" applyNumberFormat="1" applyFont="1" applyFill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192" fontId="94" fillId="0" borderId="57" xfId="1" applyNumberFormat="1" applyFont="1" applyFill="1" applyBorder="1" applyAlignment="1">
      <alignment horizontal="center" vertical="top" wrapText="1"/>
    </xf>
    <xf numFmtId="192" fontId="94" fillId="0" borderId="41" xfId="1" applyNumberFormat="1" applyFont="1" applyBorder="1" applyAlignment="1">
      <alignment horizontal="center"/>
    </xf>
    <xf numFmtId="192" fontId="94" fillId="0" borderId="42" xfId="1" applyNumberFormat="1" applyFont="1" applyBorder="1" applyAlignment="1">
      <alignment horizontal="center"/>
    </xf>
    <xf numFmtId="192" fontId="94" fillId="0" borderId="43" xfId="1" applyNumberFormat="1" applyFont="1" applyBorder="1" applyAlignment="1">
      <alignment horizontal="center"/>
    </xf>
    <xf numFmtId="192" fontId="94" fillId="0" borderId="15" xfId="1" applyNumberFormat="1" applyFont="1" applyBorder="1" applyAlignment="1">
      <alignment horizontal="center" vertical="center"/>
    </xf>
    <xf numFmtId="192" fontId="94" fillId="0" borderId="26" xfId="1" applyNumberFormat="1" applyFont="1" applyBorder="1" applyAlignment="1">
      <alignment horizontal="center" vertical="center"/>
    </xf>
    <xf numFmtId="192" fontId="94" fillId="0" borderId="41" xfId="1" applyNumberFormat="1" applyFont="1" applyFill="1" applyBorder="1" applyAlignment="1">
      <alignment horizontal="center"/>
    </xf>
    <xf numFmtId="192" fontId="94" fillId="0" borderId="42" xfId="1" applyNumberFormat="1" applyFont="1" applyFill="1" applyBorder="1" applyAlignment="1">
      <alignment horizontal="center"/>
    </xf>
    <xf numFmtId="192" fontId="94" fillId="0" borderId="43" xfId="1" applyNumberFormat="1" applyFont="1" applyFill="1" applyBorder="1" applyAlignment="1">
      <alignment horizontal="center"/>
    </xf>
    <xf numFmtId="192" fontId="94" fillId="0" borderId="15" xfId="1" applyNumberFormat="1" applyFont="1" applyFill="1" applyBorder="1" applyAlignment="1">
      <alignment horizontal="center" vertical="center" wrapText="1"/>
    </xf>
    <xf numFmtId="192" fontId="94" fillId="0" borderId="26" xfId="1" applyNumberFormat="1" applyFont="1" applyFill="1" applyBorder="1" applyAlignment="1">
      <alignment horizontal="center" vertical="center" wrapText="1"/>
    </xf>
    <xf numFmtId="192" fontId="94" fillId="0" borderId="67" xfId="1" applyNumberFormat="1" applyFont="1" applyFill="1" applyBorder="1" applyAlignment="1">
      <alignment horizontal="center" vertical="center" wrapText="1"/>
    </xf>
    <xf numFmtId="192" fontId="94" fillId="0" borderId="44" xfId="1" applyNumberFormat="1" applyFont="1" applyFill="1" applyBorder="1" applyAlignment="1">
      <alignment horizontal="center" vertical="center" wrapText="1"/>
    </xf>
    <xf numFmtId="192" fontId="94" fillId="12" borderId="18" xfId="1" applyNumberFormat="1" applyFont="1" applyFill="1" applyBorder="1" applyAlignment="1">
      <alignment horizontal="center" vertical="center" wrapText="1"/>
    </xf>
    <xf numFmtId="192" fontId="94" fillId="12" borderId="45" xfId="1" applyNumberFormat="1" applyFont="1" applyFill="1" applyBorder="1" applyAlignment="1">
      <alignment horizontal="center" vertical="center" wrapText="1"/>
    </xf>
    <xf numFmtId="192" fontId="79" fillId="0" borderId="58" xfId="1" applyNumberFormat="1" applyFont="1" applyFill="1" applyBorder="1" applyAlignment="1">
      <alignment horizontal="center" vertical="center"/>
    </xf>
    <xf numFmtId="192" fontId="79" fillId="0" borderId="49" xfId="1" applyNumberFormat="1" applyFont="1" applyFill="1" applyBorder="1" applyAlignment="1">
      <alignment horizontal="center" vertical="center"/>
    </xf>
    <xf numFmtId="0" fontId="79" fillId="22" borderId="19" xfId="0" applyFont="1" applyFill="1" applyBorder="1" applyAlignment="1">
      <alignment horizontal="center" vertical="center"/>
    </xf>
    <xf numFmtId="0" fontId="79" fillId="22" borderId="96" xfId="0" applyFont="1" applyFill="1" applyBorder="1" applyAlignment="1">
      <alignment horizontal="center" vertical="center"/>
    </xf>
    <xf numFmtId="0" fontId="79" fillId="22" borderId="97" xfId="0" applyFont="1" applyFill="1" applyBorder="1" applyAlignment="1">
      <alignment horizontal="center" vertical="center"/>
    </xf>
    <xf numFmtId="192" fontId="79" fillId="23" borderId="41" xfId="1" applyNumberFormat="1" applyFont="1" applyFill="1" applyBorder="1" applyAlignment="1">
      <alignment horizontal="center"/>
    </xf>
    <xf numFmtId="192" fontId="79" fillId="23" borderId="42" xfId="1" applyNumberFormat="1" applyFont="1" applyFill="1" applyBorder="1" applyAlignment="1">
      <alignment horizontal="center"/>
    </xf>
    <xf numFmtId="192" fontId="81" fillId="24" borderId="19" xfId="1" applyNumberFormat="1" applyFont="1" applyFill="1" applyBorder="1" applyAlignment="1">
      <alignment horizontal="center" vertical="center"/>
    </xf>
    <xf numFmtId="192" fontId="81" fillId="24" borderId="21" xfId="1" applyNumberFormat="1" applyFont="1" applyFill="1" applyBorder="1" applyAlignment="1">
      <alignment horizontal="center" vertical="center"/>
    </xf>
    <xf numFmtId="192" fontId="79" fillId="26" borderId="15" xfId="1" applyNumberFormat="1" applyFont="1" applyFill="1" applyBorder="1" applyAlignment="1">
      <alignment horizontal="center" vertical="center" wrapText="1"/>
    </xf>
    <xf numFmtId="192" fontId="79" fillId="26" borderId="26" xfId="1" applyNumberFormat="1" applyFont="1" applyFill="1" applyBorder="1" applyAlignment="1">
      <alignment horizontal="center" vertical="center" wrapText="1"/>
    </xf>
    <xf numFmtId="192" fontId="81" fillId="26" borderId="19" xfId="1" applyNumberFormat="1" applyFont="1" applyFill="1" applyBorder="1" applyAlignment="1">
      <alignment horizontal="center" vertical="center"/>
    </xf>
    <xf numFmtId="192" fontId="81" fillId="26" borderId="21" xfId="1" applyNumberFormat="1" applyFont="1" applyFill="1" applyBorder="1" applyAlignment="1">
      <alignment horizontal="center" vertical="center"/>
    </xf>
    <xf numFmtId="192" fontId="81" fillId="0" borderId="12" xfId="1" applyNumberFormat="1" applyFont="1" applyFill="1" applyBorder="1" applyAlignment="1">
      <alignment horizontal="center" vertical="center" wrapText="1"/>
    </xf>
    <xf numFmtId="192" fontId="81" fillId="0" borderId="45" xfId="1" applyNumberFormat="1" applyFont="1" applyFill="1" applyBorder="1" applyAlignment="1">
      <alignment horizontal="center" vertical="center" wrapText="1"/>
    </xf>
    <xf numFmtId="192" fontId="81" fillId="93" borderId="58" xfId="1" applyNumberFormat="1" applyFont="1" applyFill="1" applyBorder="1" applyAlignment="1">
      <alignment horizontal="center" vertical="center" wrapText="1"/>
    </xf>
    <xf numFmtId="192" fontId="81" fillId="93" borderId="49" xfId="1" applyNumberFormat="1" applyFont="1" applyFill="1" applyBorder="1" applyAlignment="1">
      <alignment horizontal="center" vertical="center" wrapText="1"/>
    </xf>
    <xf numFmtId="192" fontId="95" fillId="0" borderId="10" xfId="1" applyNumberFormat="1" applyFont="1" applyFill="1" applyBorder="1" applyAlignment="1">
      <alignment horizontal="center" vertical="center" wrapText="1"/>
    </xf>
    <xf numFmtId="192" fontId="95" fillId="0" borderId="90" xfId="1" applyNumberFormat="1" applyFont="1" applyFill="1" applyBorder="1" applyAlignment="1">
      <alignment horizontal="center" vertical="center" wrapText="1"/>
    </xf>
    <xf numFmtId="192" fontId="81" fillId="0" borderId="3" xfId="1" applyNumberFormat="1" applyFont="1" applyFill="1" applyBorder="1" applyAlignment="1">
      <alignment horizontal="center" vertical="center" wrapText="1"/>
    </xf>
    <xf numFmtId="192" fontId="81" fillId="0" borderId="46" xfId="1" applyNumberFormat="1" applyFont="1" applyFill="1" applyBorder="1" applyAlignment="1">
      <alignment horizontal="center" vertical="center" wrapText="1"/>
    </xf>
    <xf numFmtId="192" fontId="81" fillId="0" borderId="69" xfId="1" applyNumberFormat="1" applyFont="1" applyFill="1" applyBorder="1" applyAlignment="1">
      <alignment horizontal="center" vertical="center" wrapText="1"/>
    </xf>
    <xf numFmtId="192" fontId="81" fillId="0" borderId="56" xfId="1" applyNumberFormat="1" applyFont="1" applyFill="1" applyBorder="1" applyAlignment="1">
      <alignment horizontal="center" vertical="center" wrapText="1"/>
    </xf>
    <xf numFmtId="192" fontId="81" fillId="93" borderId="0" xfId="1" applyNumberFormat="1" applyFont="1" applyFill="1" applyBorder="1" applyAlignment="1">
      <alignment horizontal="center" vertical="center" wrapText="1"/>
    </xf>
    <xf numFmtId="192" fontId="81" fillId="93" borderId="50" xfId="1" applyNumberFormat="1" applyFont="1" applyFill="1" applyBorder="1" applyAlignment="1">
      <alignment horizontal="center" vertical="center" wrapText="1"/>
    </xf>
    <xf numFmtId="192" fontId="81" fillId="0" borderId="15" xfId="1" applyNumberFormat="1" applyFont="1" applyFill="1" applyBorder="1" applyAlignment="1">
      <alignment horizontal="center" vertical="top" wrapText="1"/>
    </xf>
    <xf numFmtId="192" fontId="81" fillId="0" borderId="26" xfId="1" applyNumberFormat="1" applyFont="1" applyFill="1" applyBorder="1" applyAlignment="1">
      <alignment horizontal="center" vertical="top" wrapText="1"/>
    </xf>
    <xf numFmtId="192" fontId="320" fillId="0" borderId="130" xfId="1" applyNumberFormat="1" applyFont="1" applyFill="1" applyBorder="1" applyAlignment="1">
      <alignment horizontal="center" vertical="center" wrapText="1"/>
    </xf>
    <xf numFmtId="192" fontId="320" fillId="0" borderId="17" xfId="1" applyNumberFormat="1" applyFont="1" applyFill="1" applyBorder="1" applyAlignment="1">
      <alignment horizontal="center" vertical="center" wrapText="1"/>
    </xf>
    <xf numFmtId="192" fontId="95" fillId="0" borderId="25" xfId="1" applyNumberFormat="1" applyFont="1" applyFill="1" applyBorder="1" applyAlignment="1">
      <alignment horizontal="center" vertical="center" wrapText="1"/>
    </xf>
    <xf numFmtId="192" fontId="95" fillId="0" borderId="91" xfId="1" applyNumberFormat="1" applyFont="1" applyFill="1" applyBorder="1" applyAlignment="1">
      <alignment horizontal="center" vertical="center" wrapText="1"/>
    </xf>
    <xf numFmtId="192" fontId="81" fillId="0" borderId="57" xfId="1" applyNumberFormat="1" applyFont="1" applyFill="1" applyBorder="1" applyAlignment="1">
      <alignment horizontal="center"/>
    </xf>
    <xf numFmtId="192" fontId="81" fillId="0" borderId="64" xfId="1" applyNumberFormat="1" applyFont="1" applyFill="1" applyBorder="1" applyAlignment="1">
      <alignment horizontal="center"/>
    </xf>
    <xf numFmtId="192" fontId="81" fillId="0" borderId="42" xfId="1" applyNumberFormat="1" applyFont="1" applyFill="1" applyBorder="1" applyAlignment="1">
      <alignment horizontal="center"/>
    </xf>
    <xf numFmtId="192" fontId="81" fillId="0" borderId="43" xfId="1" applyNumberFormat="1" applyFont="1" applyFill="1" applyBorder="1" applyAlignment="1">
      <alignment horizontal="center"/>
    </xf>
    <xf numFmtId="192" fontId="79" fillId="0" borderId="49" xfId="1" applyNumberFormat="1" applyFont="1" applyFill="1" applyBorder="1" applyAlignment="1">
      <alignment horizontal="center" vertical="top"/>
    </xf>
    <xf numFmtId="192" fontId="79" fillId="0" borderId="50" xfId="1" applyNumberFormat="1" applyFont="1" applyFill="1" applyBorder="1" applyAlignment="1">
      <alignment horizontal="center" vertical="top"/>
    </xf>
    <xf numFmtId="192" fontId="79" fillId="0" borderId="118" xfId="1" applyNumberFormat="1" applyFont="1" applyFill="1" applyBorder="1" applyAlignment="1">
      <alignment horizontal="center" vertical="top"/>
    </xf>
    <xf numFmtId="192" fontId="79" fillId="0" borderId="27" xfId="1" applyNumberFormat="1" applyFont="1" applyFill="1" applyBorder="1" applyAlignment="1">
      <alignment horizontal="center" vertical="top"/>
    </xf>
    <xf numFmtId="192" fontId="79" fillId="0" borderId="41" xfId="1" applyNumberFormat="1" applyFont="1" applyFill="1" applyBorder="1" applyAlignment="1">
      <alignment horizontal="center" vertical="top"/>
    </xf>
    <xf numFmtId="192" fontId="79" fillId="0" borderId="42" xfId="1" applyNumberFormat="1" applyFont="1" applyFill="1" applyBorder="1" applyAlignment="1">
      <alignment horizontal="center" vertical="top"/>
    </xf>
    <xf numFmtId="192" fontId="79" fillId="0" borderId="43" xfId="1" applyNumberFormat="1" applyFont="1" applyFill="1" applyBorder="1" applyAlignment="1">
      <alignment horizontal="center" vertical="top"/>
    </xf>
    <xf numFmtId="192" fontId="79" fillId="0" borderId="45" xfId="1" applyNumberFormat="1" applyFont="1" applyFill="1" applyBorder="1" applyAlignment="1">
      <alignment horizontal="center" vertical="top"/>
    </xf>
    <xf numFmtId="192" fontId="79" fillId="0" borderId="56" xfId="1" applyNumberFormat="1" applyFont="1" applyFill="1" applyBorder="1" applyAlignment="1">
      <alignment horizontal="center" vertical="top"/>
    </xf>
    <xf numFmtId="0" fontId="131" fillId="0" borderId="8" xfId="254" applyNumberFormat="1" applyFont="1" applyFill="1" applyBorder="1" applyAlignment="1">
      <alignment horizontal="center" vertical="center" wrapText="1" readingOrder="1"/>
    </xf>
    <xf numFmtId="200" fontId="131" fillId="0" borderId="8" xfId="254" applyFont="1" applyFill="1" applyBorder="1" applyAlignment="1">
      <alignment horizontal="center" vertical="center" wrapText="1" readingOrder="1"/>
    </xf>
    <xf numFmtId="200" fontId="131" fillId="0" borderId="8" xfId="254" applyFont="1" applyFill="1" applyBorder="1" applyAlignment="1">
      <alignment horizontal="center" wrapText="1" readingOrder="1"/>
    </xf>
    <xf numFmtId="0" fontId="0" fillId="29" borderId="50" xfId="0" applyFill="1" applyBorder="1" applyAlignment="1">
      <alignment horizontal="center"/>
    </xf>
    <xf numFmtId="0" fontId="81" fillId="27" borderId="57" xfId="0" applyFont="1" applyFill="1" applyBorder="1" applyAlignment="1">
      <alignment horizontal="center" vertical="center"/>
    </xf>
    <xf numFmtId="0" fontId="81" fillId="27" borderId="58" xfId="0" applyFont="1" applyFill="1" applyBorder="1" applyAlignment="1">
      <alignment horizontal="center" vertical="center"/>
    </xf>
    <xf numFmtId="0" fontId="81" fillId="27" borderId="63" xfId="0" applyFont="1" applyFill="1" applyBorder="1" applyAlignment="1">
      <alignment horizontal="center" vertical="center"/>
    </xf>
    <xf numFmtId="0" fontId="0" fillId="12" borderId="49" xfId="0" applyFill="1" applyBorder="1" applyAlignment="1">
      <alignment horizontal="center"/>
    </xf>
    <xf numFmtId="0" fontId="0" fillId="12" borderId="50" xfId="0" applyFill="1" applyBorder="1" applyAlignment="1">
      <alignment horizontal="center"/>
    </xf>
    <xf numFmtId="0" fontId="0" fillId="12" borderId="27" xfId="0" applyFill="1" applyBorder="1" applyAlignment="1">
      <alignment horizontal="center"/>
    </xf>
    <xf numFmtId="0" fontId="0" fillId="29" borderId="49" xfId="0" applyFill="1" applyBorder="1" applyAlignment="1">
      <alignment horizontal="center"/>
    </xf>
    <xf numFmtId="0" fontId="0" fillId="29" borderId="27" xfId="0" applyFill="1" applyBorder="1" applyAlignment="1">
      <alignment horizontal="center"/>
    </xf>
    <xf numFmtId="0" fontId="50" fillId="29" borderId="49" xfId="0" applyFont="1" applyFill="1" applyBorder="1" applyAlignment="1">
      <alignment horizontal="center"/>
    </xf>
    <xf numFmtId="0" fontId="50" fillId="29" borderId="50" xfId="0" applyFont="1" applyFill="1" applyBorder="1" applyAlignment="1">
      <alignment horizontal="center"/>
    </xf>
    <xf numFmtId="0" fontId="50" fillId="29" borderId="27" xfId="0" applyFont="1" applyFill="1" applyBorder="1" applyAlignment="1">
      <alignment horizontal="center"/>
    </xf>
    <xf numFmtId="0" fontId="81" fillId="0" borderId="0" xfId="0" applyFont="1" applyFill="1" applyBorder="1" applyAlignment="1">
      <alignment horizontal="center" wrapText="1"/>
    </xf>
    <xf numFmtId="0" fontId="79" fillId="22" borderId="55" xfId="0" applyFont="1" applyFill="1" applyBorder="1" applyAlignment="1">
      <alignment horizontal="center" vertical="center"/>
    </xf>
    <xf numFmtId="0" fontId="79" fillId="20" borderId="33" xfId="0" applyFont="1" applyFill="1" applyBorder="1" applyAlignment="1">
      <alignment horizontal="center" vertical="center"/>
    </xf>
    <xf numFmtId="0" fontId="79" fillId="20" borderId="40" xfId="0" applyFont="1" applyFill="1" applyBorder="1" applyAlignment="1">
      <alignment horizontal="center" vertical="center"/>
    </xf>
    <xf numFmtId="192" fontId="100" fillId="31" borderId="64" xfId="1" applyNumberFormat="1" applyFont="1" applyFill="1" applyBorder="1" applyAlignment="1">
      <alignment horizontal="center"/>
    </xf>
    <xf numFmtId="192" fontId="100" fillId="31" borderId="16" xfId="1" applyNumberFormat="1" applyFont="1" applyFill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92" fontId="79" fillId="21" borderId="20" xfId="1" applyNumberFormat="1" applyFont="1" applyFill="1" applyBorder="1" applyAlignment="1">
      <alignment horizontal="center" vertical="center" wrapText="1"/>
    </xf>
    <xf numFmtId="192" fontId="79" fillId="21" borderId="54" xfId="1" applyNumberFormat="1" applyFont="1" applyFill="1" applyBorder="1" applyAlignment="1">
      <alignment horizontal="center" vertical="center" wrapText="1"/>
    </xf>
    <xf numFmtId="192" fontId="79" fillId="31" borderId="19" xfId="1" applyNumberFormat="1" applyFont="1" applyFill="1" applyBorder="1" applyAlignment="1">
      <alignment horizontal="center" vertical="center" wrapText="1"/>
    </xf>
    <xf numFmtId="192" fontId="79" fillId="31" borderId="20" xfId="1" applyNumberFormat="1" applyFont="1" applyFill="1" applyBorder="1" applyAlignment="1">
      <alignment horizontal="center" vertical="center" wrapText="1"/>
    </xf>
    <xf numFmtId="192" fontId="79" fillId="31" borderId="54" xfId="1" applyNumberFormat="1" applyFont="1" applyFill="1" applyBorder="1" applyAlignment="1">
      <alignment horizontal="center" vertical="center" wrapText="1"/>
    </xf>
    <xf numFmtId="192" fontId="79" fillId="17" borderId="19" xfId="1" applyNumberFormat="1" applyFont="1" applyFill="1" applyBorder="1" applyAlignment="1">
      <alignment horizontal="center" vertical="center" wrapText="1"/>
    </xf>
    <xf numFmtId="192" fontId="79" fillId="17" borderId="20" xfId="1" applyNumberFormat="1" applyFont="1" applyFill="1" applyBorder="1" applyAlignment="1">
      <alignment horizontal="center" vertical="center" wrapText="1"/>
    </xf>
    <xf numFmtId="192" fontId="79" fillId="17" borderId="54" xfId="1" applyNumberFormat="1" applyFont="1" applyFill="1" applyBorder="1" applyAlignment="1">
      <alignment horizontal="center" vertical="center" wrapText="1"/>
    </xf>
    <xf numFmtId="198" fontId="50" fillId="15" borderId="11" xfId="1" applyNumberFormat="1" applyFont="1" applyFill="1" applyBorder="1" applyAlignment="1">
      <alignment horizontal="center" vertical="center"/>
    </xf>
    <xf numFmtId="198" fontId="50" fillId="15" borderId="13" xfId="1" applyNumberFormat="1" applyFont="1" applyFill="1" applyBorder="1" applyAlignment="1">
      <alignment horizontal="center" vertical="center"/>
    </xf>
    <xf numFmtId="198" fontId="234" fillId="15" borderId="11" xfId="1" applyNumberFormat="1" applyFont="1" applyFill="1" applyBorder="1" applyAlignment="1">
      <alignment horizontal="center" vertical="center"/>
    </xf>
    <xf numFmtId="198" fontId="234" fillId="15" borderId="13" xfId="1" applyNumberFormat="1" applyFont="1" applyFill="1" applyBorder="1" applyAlignment="1">
      <alignment horizontal="center" vertical="center"/>
    </xf>
    <xf numFmtId="237" fontId="59" fillId="0" borderId="0" xfId="809" applyFont="1" applyBorder="1" applyAlignment="1">
      <alignment horizontal="center"/>
    </xf>
    <xf numFmtId="237" fontId="59" fillId="0" borderId="0" xfId="809" applyFont="1" applyAlignment="1">
      <alignment horizontal="center"/>
    </xf>
    <xf numFmtId="198" fontId="55" fillId="15" borderId="11" xfId="1" applyNumberFormat="1" applyFont="1" applyFill="1" applyBorder="1" applyAlignment="1">
      <alignment horizontal="center" vertical="center" wrapText="1"/>
    </xf>
    <xf numFmtId="198" fontId="55" fillId="15" borderId="13" xfId="1" applyNumberFormat="1" applyFont="1" applyFill="1" applyBorder="1" applyAlignment="1">
      <alignment horizontal="center" vertical="center" wrapText="1"/>
    </xf>
    <xf numFmtId="1" fontId="101" fillId="19" borderId="9" xfId="91" applyNumberFormat="1" applyFont="1" applyFill="1" applyBorder="1" applyAlignment="1">
      <alignment horizontal="center" vertical="center"/>
    </xf>
    <xf numFmtId="1" fontId="101" fillId="19" borderId="12" xfId="91" applyNumberFormat="1" applyFont="1" applyFill="1" applyBorder="1" applyAlignment="1">
      <alignment horizontal="center" vertical="center"/>
    </xf>
    <xf numFmtId="1" fontId="101" fillId="19" borderId="10" xfId="91" applyNumberFormat="1" applyFont="1" applyFill="1" applyBorder="1" applyAlignment="1">
      <alignment horizontal="center" vertical="center"/>
    </xf>
    <xf numFmtId="0" fontId="102" fillId="32" borderId="5" xfId="91" applyFont="1" applyFill="1" applyBorder="1" applyAlignment="1">
      <alignment horizontal="center" vertical="center"/>
    </xf>
    <xf numFmtId="0" fontId="102" fillId="32" borderId="6" xfId="91" applyFont="1" applyFill="1" applyBorder="1" applyAlignment="1">
      <alignment horizontal="center" vertical="center"/>
    </xf>
    <xf numFmtId="0" fontId="102" fillId="32" borderId="7" xfId="91" applyFont="1" applyFill="1" applyBorder="1" applyAlignment="1">
      <alignment horizontal="center" vertical="center"/>
    </xf>
    <xf numFmtId="191" fontId="251" fillId="77" borderId="82" xfId="0" applyNumberFormat="1" applyFont="1" applyFill="1" applyBorder="1" applyAlignment="1">
      <alignment horizontal="center" vertical="center"/>
    </xf>
    <xf numFmtId="191" fontId="251" fillId="77" borderId="12" xfId="0" applyNumberFormat="1" applyFont="1" applyFill="1" applyBorder="1" applyAlignment="1">
      <alignment horizontal="center" vertical="center"/>
    </xf>
    <xf numFmtId="191" fontId="251" fillId="77" borderId="10" xfId="0" applyNumberFormat="1" applyFont="1" applyFill="1" applyBorder="1" applyAlignment="1">
      <alignment horizontal="center" vertical="center"/>
    </xf>
    <xf numFmtId="191" fontId="53" fillId="5" borderId="9" xfId="0" applyNumberFormat="1" applyFont="1" applyFill="1" applyBorder="1" applyAlignment="1">
      <alignment horizontal="center" vertical="center"/>
    </xf>
    <xf numFmtId="0" fontId="137" fillId="15" borderId="86" xfId="0" applyFont="1" applyFill="1" applyBorder="1" applyAlignment="1">
      <alignment horizontal="center" vertical="center"/>
    </xf>
    <xf numFmtId="0" fontId="137" fillId="15" borderId="98" xfId="0" applyFont="1" applyFill="1" applyBorder="1" applyAlignment="1">
      <alignment horizontal="center" vertical="center"/>
    </xf>
    <xf numFmtId="0" fontId="137" fillId="15" borderId="85" xfId="0" applyFont="1" applyFill="1" applyBorder="1" applyAlignment="1">
      <alignment horizontal="center" vertical="center"/>
    </xf>
    <xf numFmtId="43" fontId="137" fillId="15" borderId="86" xfId="1" quotePrefix="1" applyFont="1" applyFill="1" applyBorder="1" applyAlignment="1">
      <alignment horizontal="center" vertical="center"/>
    </xf>
    <xf numFmtId="43" fontId="137" fillId="15" borderId="98" xfId="1" quotePrefix="1" applyFont="1" applyFill="1" applyBorder="1" applyAlignment="1">
      <alignment horizontal="center" vertical="center"/>
    </xf>
    <xf numFmtId="201" fontId="255" fillId="85" borderId="13" xfId="0" applyNumberFormat="1" applyFont="1" applyFill="1" applyBorder="1" applyAlignment="1">
      <alignment horizontal="left" vertical="center"/>
    </xf>
    <xf numFmtId="201" fontId="255" fillId="85" borderId="14" xfId="0" applyNumberFormat="1" applyFont="1" applyFill="1" applyBorder="1" applyAlignment="1">
      <alignment horizontal="left" vertical="center"/>
    </xf>
    <xf numFmtId="0" fontId="270" fillId="0" borderId="84" xfId="0" applyFont="1" applyBorder="1" applyAlignment="1">
      <alignment horizontal="center"/>
    </xf>
    <xf numFmtId="0" fontId="270" fillId="0" borderId="84" xfId="0" applyFont="1" applyBorder="1" applyAlignment="1">
      <alignment horizontal="center" vertical="center"/>
    </xf>
    <xf numFmtId="1" fontId="252" fillId="0" borderId="0" xfId="0" applyNumberFormat="1" applyFont="1" applyAlignment="1">
      <alignment horizontal="center" vertical="center"/>
    </xf>
    <xf numFmtId="205" fontId="270" fillId="0" borderId="0" xfId="0" applyNumberFormat="1" applyFont="1" applyAlignment="1">
      <alignment horizontal="right" wrapText="1"/>
    </xf>
  </cellXfs>
  <cellStyles count="4515">
    <cellStyle name="&quot;Percent&quot;" xfId="273"/>
    <cellStyle name="?@¯e_Module1" xfId="274"/>
    <cellStyle name="?mhr" xfId="275"/>
    <cellStyle name="? [0.00]_GUIDE" xfId="276"/>
    <cellStyle name="?_GUIDE" xfId="277"/>
    <cellStyle name="?蟓%U?&amp;H?_x0008_?s_x000a__x0007__x0001__x0001_" xfId="278"/>
    <cellStyle name="?鹎%U龡&amp;H鼼_x0008_V_x0011_._x0012__x0007__x0001__x0001_" xfId="279"/>
    <cellStyle name="_budget allocation for preinvestment(25KMTA)" xfId="280"/>
    <cellStyle name="_IG6.01A Laboratory Equipment" xfId="281"/>
    <cellStyle name="_Summary(20060209)by gina含PS配合初步預算" xfId="282"/>
    <cellStyle name="¶W³sµ²" xfId="283"/>
    <cellStyle name="æØè [0.00]_laroux" xfId="284"/>
    <cellStyle name="æØè_laroux" xfId="285"/>
    <cellStyle name="ÊÝ [0.00]_laroux" xfId="286"/>
    <cellStyle name="ÊÝ_laroux" xfId="287"/>
    <cellStyle name="W_COLUMN" xfId="288"/>
    <cellStyle name="20% - Accent1 2" xfId="2455"/>
    <cellStyle name="20% - Accent1 3" xfId="2456"/>
    <cellStyle name="20% - Accent2 2" xfId="2457"/>
    <cellStyle name="20% - Accent2 3" xfId="2458"/>
    <cellStyle name="20% - Accent3 2" xfId="2459"/>
    <cellStyle name="20% - Accent3 3" xfId="2460"/>
    <cellStyle name="20% - Accent4 2" xfId="2461"/>
    <cellStyle name="20% - Accent4 3" xfId="2462"/>
    <cellStyle name="20% - Accent5 2" xfId="2463"/>
    <cellStyle name="20% - Accent5 3" xfId="2464"/>
    <cellStyle name="20% - Accent6 2" xfId="2465"/>
    <cellStyle name="20% - Accent6 3" xfId="2466"/>
    <cellStyle name="20% - ส่วนที่ถูกเน้น1" xfId="2467"/>
    <cellStyle name="20% - ส่วนที่ถูกเน้น2" xfId="2468"/>
    <cellStyle name="20% - ส่วนที่ถูกเน้น3" xfId="2469"/>
    <cellStyle name="20% - ส่วนที่ถูกเน้น4" xfId="2470"/>
    <cellStyle name="20% - ส่วนที่ถูกเน้น5" xfId="2471"/>
    <cellStyle name="20% - ส่วนที่ถูกเน้น6" xfId="2472"/>
    <cellStyle name="20% - 輔色1" xfId="289"/>
    <cellStyle name="20% - 輔色2" xfId="290"/>
    <cellStyle name="20% - 輔色3" xfId="291"/>
    <cellStyle name="20% - 輔色4" xfId="292"/>
    <cellStyle name="20% - 輔色5" xfId="293"/>
    <cellStyle name="20% - 輔色6" xfId="294"/>
    <cellStyle name="³f¹ô [0]_laroux" xfId="295"/>
    <cellStyle name="³f¹ô_laroux" xfId="296"/>
    <cellStyle name="40% - Accent1 2" xfId="2473"/>
    <cellStyle name="40% - Accent1 3" xfId="2474"/>
    <cellStyle name="40% - Accent2 2" xfId="2475"/>
    <cellStyle name="40% - Accent2 3" xfId="2476"/>
    <cellStyle name="40% - Accent3 2" xfId="2477"/>
    <cellStyle name="40% - Accent3 3" xfId="2478"/>
    <cellStyle name="40% - Accent4 2" xfId="2479"/>
    <cellStyle name="40% - Accent4 3" xfId="2480"/>
    <cellStyle name="40% - Accent5 2" xfId="2481"/>
    <cellStyle name="40% - Accent5 3" xfId="2482"/>
    <cellStyle name="40% - Accent6 2" xfId="2483"/>
    <cellStyle name="40% - Accent6 3" xfId="2484"/>
    <cellStyle name="40% - ส่วนที่ถูกเน้น1" xfId="2485"/>
    <cellStyle name="40% - ส่วนที่ถูกเน้น2" xfId="2486"/>
    <cellStyle name="40% - ส่วนที่ถูกเน้น3" xfId="2487"/>
    <cellStyle name="40% - ส่วนที่ถูกเน้น4" xfId="2488"/>
    <cellStyle name="40% - ส่วนที่ถูกเน้น5" xfId="2489"/>
    <cellStyle name="40% - ส่วนที่ถูกเน้น6" xfId="2490"/>
    <cellStyle name="40% - 輔色1" xfId="297"/>
    <cellStyle name="40% - 輔色2" xfId="298"/>
    <cellStyle name="40% - 輔色3" xfId="299"/>
    <cellStyle name="40% - 輔色4" xfId="300"/>
    <cellStyle name="40% - 輔色5" xfId="301"/>
    <cellStyle name="40% - 輔色6" xfId="302"/>
    <cellStyle name="60% - Accent1 2" xfId="2491"/>
    <cellStyle name="60% - Accent1 3" xfId="2492"/>
    <cellStyle name="60% - Accent2 2" xfId="2493"/>
    <cellStyle name="60% - Accent2 3" xfId="2494"/>
    <cellStyle name="60% - Accent3 2" xfId="2495"/>
    <cellStyle name="60% - Accent3 3" xfId="2496"/>
    <cellStyle name="60% - Accent4 2" xfId="2497"/>
    <cellStyle name="60% - Accent4 3" xfId="2498"/>
    <cellStyle name="60% - Accent5 2" xfId="2499"/>
    <cellStyle name="60% - Accent5 3" xfId="2500"/>
    <cellStyle name="60% - Accent6 2" xfId="2501"/>
    <cellStyle name="60% - Accent6 3" xfId="2502"/>
    <cellStyle name="60% - ส่วนที่ถูกเน้น1" xfId="2503"/>
    <cellStyle name="60% - ส่วนที่ถูกเน้น2" xfId="2504"/>
    <cellStyle name="60% - ส่วนที่ถูกเน้น3" xfId="2505"/>
    <cellStyle name="60% - ส่วนที่ถูกเน้น4" xfId="2506"/>
    <cellStyle name="60% - ส่วนที่ถูกเน้น5" xfId="2507"/>
    <cellStyle name="60% - ส่วนที่ถูกเน้น6" xfId="2508"/>
    <cellStyle name="60% - 輔色1" xfId="303"/>
    <cellStyle name="60% - 輔色2" xfId="304"/>
    <cellStyle name="60% - 輔色3" xfId="305"/>
    <cellStyle name="60% - 輔色4" xfId="306"/>
    <cellStyle name="60% - 輔色5" xfId="307"/>
    <cellStyle name="60% - 輔色6" xfId="308"/>
    <cellStyle name="Accent1 2" xfId="2509"/>
    <cellStyle name="Accent1 3" xfId="2510"/>
    <cellStyle name="Accent2 2" xfId="2511"/>
    <cellStyle name="Accent2 3" xfId="2512"/>
    <cellStyle name="Accent3 2" xfId="2513"/>
    <cellStyle name="Accent3 3" xfId="2514"/>
    <cellStyle name="Accent4 2" xfId="2515"/>
    <cellStyle name="Accent4 3" xfId="2516"/>
    <cellStyle name="Accent5 2" xfId="2517"/>
    <cellStyle name="Accent5 3" xfId="2518"/>
    <cellStyle name="Accent6 2" xfId="2519"/>
    <cellStyle name="Accent6 3" xfId="2520"/>
    <cellStyle name="active" xfId="309"/>
    <cellStyle name="args.style" xfId="2521"/>
    <cellStyle name="Arial 11" xfId="310"/>
    <cellStyle name="Bad 2" xfId="2522"/>
    <cellStyle name="Bad 3" xfId="2523"/>
    <cellStyle name="BAR" xfId="311"/>
    <cellStyle name="Calc Currency (0)" xfId="2524"/>
    <cellStyle name="Calculation 2" xfId="2525"/>
    <cellStyle name="Calculation 3" xfId="2526"/>
    <cellStyle name="Check box" xfId="312"/>
    <cellStyle name="Check Cell 2" xfId="2527"/>
    <cellStyle name="Check Cell 3" xfId="2528"/>
    <cellStyle name="Column_Title" xfId="313"/>
    <cellStyle name="Comma" xfId="1" builtinId="3"/>
    <cellStyle name="Comma  - Style1" xfId="2529"/>
    <cellStyle name="Comma  - Style2" xfId="2530"/>
    <cellStyle name="Comma  - Style3" xfId="2531"/>
    <cellStyle name="Comma  - Style4" xfId="2532"/>
    <cellStyle name="Comma  - Style5" xfId="2533"/>
    <cellStyle name="Comma  - Style6" xfId="2534"/>
    <cellStyle name="Comma  - Style7" xfId="2535"/>
    <cellStyle name="Comma  - Style8" xfId="2536"/>
    <cellStyle name="Comma [0] 2" xfId="314"/>
    <cellStyle name="Comma 10" xfId="315"/>
    <cellStyle name="Comma 10 2" xfId="316"/>
    <cellStyle name="Comma 10 2 2" xfId="971"/>
    <cellStyle name="Comma 10 2 2 2" xfId="2537"/>
    <cellStyle name="Comma 10 2 2 2 2" xfId="2538"/>
    <cellStyle name="Comma 10 2 2 3" xfId="2539"/>
    <cellStyle name="Comma 10 2 3" xfId="2540"/>
    <cellStyle name="Comma 10 2 3 2" xfId="2541"/>
    <cellStyle name="Comma 10 2 4" xfId="2542"/>
    <cellStyle name="Comma 10 3" xfId="970"/>
    <cellStyle name="Comma 10 3 2" xfId="2543"/>
    <cellStyle name="Comma 10 3 2 2" xfId="2544"/>
    <cellStyle name="Comma 10 3 3" xfId="2545"/>
    <cellStyle name="Comma 10 4" xfId="2546"/>
    <cellStyle name="Comma 10 4 2" xfId="2547"/>
    <cellStyle name="Comma 10 4 2 2" xfId="2548"/>
    <cellStyle name="Comma 10 4 3" xfId="2549"/>
    <cellStyle name="Comma 10 5" xfId="2550"/>
    <cellStyle name="Comma 10 5 2" xfId="2551"/>
    <cellStyle name="Comma 10 6" xfId="2552"/>
    <cellStyle name="Comma 11" xfId="317"/>
    <cellStyle name="Comma 11 2" xfId="318"/>
    <cellStyle name="Comma 11 2 2" xfId="973"/>
    <cellStyle name="Comma 11 2 2 2" xfId="2553"/>
    <cellStyle name="Comma 11 2 2 2 2" xfId="2554"/>
    <cellStyle name="Comma 11 2 2 3" xfId="2555"/>
    <cellStyle name="Comma 11 2 3" xfId="2556"/>
    <cellStyle name="Comma 11 2 3 2" xfId="2557"/>
    <cellStyle name="Comma 11 2 4" xfId="2558"/>
    <cellStyle name="Comma 11 3" xfId="972"/>
    <cellStyle name="Comma 11 3 2" xfId="2559"/>
    <cellStyle name="Comma 11 3 2 2" xfId="2560"/>
    <cellStyle name="Comma 11 3 3" xfId="2561"/>
    <cellStyle name="Comma 11 4" xfId="2562"/>
    <cellStyle name="Comma 11 4 2" xfId="2563"/>
    <cellStyle name="Comma 11 4 2 2" xfId="2564"/>
    <cellStyle name="Comma 11 4 3" xfId="2565"/>
    <cellStyle name="Comma 12" xfId="319"/>
    <cellStyle name="Comma 12 2" xfId="320"/>
    <cellStyle name="Comma 12 2 2" xfId="975"/>
    <cellStyle name="Comma 12 2 2 2" xfId="2566"/>
    <cellStyle name="Comma 12 2 2 2 2" xfId="2567"/>
    <cellStyle name="Comma 12 2 2 3" xfId="2568"/>
    <cellStyle name="Comma 12 2 3" xfId="2569"/>
    <cellStyle name="Comma 12 2 3 2" xfId="2570"/>
    <cellStyle name="Comma 12 2 4" xfId="2571"/>
    <cellStyle name="Comma 12 3" xfId="974"/>
    <cellStyle name="Comma 12 3 2" xfId="2572"/>
    <cellStyle name="Comma 12 3 2 2" xfId="2573"/>
    <cellStyle name="Comma 12 3 3" xfId="2574"/>
    <cellStyle name="Comma 12 4" xfId="2575"/>
    <cellStyle name="Comma 12 4 2" xfId="2576"/>
    <cellStyle name="Comma 12 5" xfId="2577"/>
    <cellStyle name="Comma 13" xfId="321"/>
    <cellStyle name="Comma 13 2" xfId="976"/>
    <cellStyle name="Comma 13 2 2" xfId="2578"/>
    <cellStyle name="Comma 13 2 2 2" xfId="2579"/>
    <cellStyle name="Comma 13 2 3" xfId="2580"/>
    <cellStyle name="Comma 13 3" xfId="2581"/>
    <cellStyle name="Comma 13 3 2" xfId="2582"/>
    <cellStyle name="Comma 13 4" xfId="2583"/>
    <cellStyle name="Comma 14" xfId="322"/>
    <cellStyle name="Comma 15" xfId="323"/>
    <cellStyle name="Comma 16" xfId="324"/>
    <cellStyle name="Comma 17" xfId="325"/>
    <cellStyle name="Comma 17 2" xfId="326"/>
    <cellStyle name="Comma 17 2 2" xfId="327"/>
    <cellStyle name="Comma 17 2 3" xfId="328"/>
    <cellStyle name="Comma 17 2 4" xfId="329"/>
    <cellStyle name="Comma 17 3" xfId="330"/>
    <cellStyle name="Comma 17 3 2" xfId="331"/>
    <cellStyle name="Comma 17 3 3" xfId="332"/>
    <cellStyle name="Comma 17 3 4" xfId="333"/>
    <cellStyle name="Comma 17 4" xfId="334"/>
    <cellStyle name="Comma 17 5" xfId="335"/>
    <cellStyle name="Comma 17 6" xfId="336"/>
    <cellStyle name="Comma 17 7" xfId="337"/>
    <cellStyle name="Comma 18" xfId="338"/>
    <cellStyle name="Comma 18 2" xfId="977"/>
    <cellStyle name="Comma 18 2 2" xfId="2584"/>
    <cellStyle name="Comma 18 2 2 2" xfId="2585"/>
    <cellStyle name="Comma 18 2 3" xfId="2586"/>
    <cellStyle name="Comma 18 3" xfId="2587"/>
    <cellStyle name="Comma 18 3 2" xfId="2588"/>
    <cellStyle name="Comma 18 4" xfId="2589"/>
    <cellStyle name="Comma 19" xfId="339"/>
    <cellStyle name="Comma 19 2" xfId="978"/>
    <cellStyle name="Comma 19 2 2" xfId="2590"/>
    <cellStyle name="Comma 19 2 2 2" xfId="2591"/>
    <cellStyle name="Comma 19 2 3" xfId="2592"/>
    <cellStyle name="Comma 19 3" xfId="2593"/>
    <cellStyle name="Comma 19 3 2" xfId="2594"/>
    <cellStyle name="Comma 19 4" xfId="2595"/>
    <cellStyle name="Comma 2" xfId="14"/>
    <cellStyle name="Comma 2 10" xfId="15"/>
    <cellStyle name="Comma 2 10 2" xfId="340"/>
    <cellStyle name="Comma 2 11" xfId="16"/>
    <cellStyle name="Comma 2 11 2" xfId="2596"/>
    <cellStyle name="Comma 2 12" xfId="17"/>
    <cellStyle name="Comma 2 12 2" xfId="2597"/>
    <cellStyle name="Comma 2 13" xfId="18"/>
    <cellStyle name="Comma 2 13 2" xfId="2598"/>
    <cellStyle name="Comma 2 14" xfId="19"/>
    <cellStyle name="Comma 2 14 2" xfId="2599"/>
    <cellStyle name="Comma 2 15" xfId="20"/>
    <cellStyle name="Comma 2 15 2" xfId="2600"/>
    <cellStyle name="Comma 2 16" xfId="21"/>
    <cellStyle name="Comma 2 16 2" xfId="2601"/>
    <cellStyle name="Comma 2 17" xfId="22"/>
    <cellStyle name="Comma 2 17 2" xfId="2602"/>
    <cellStyle name="Comma 2 18" xfId="23"/>
    <cellStyle name="Comma 2 18 2" xfId="2603"/>
    <cellStyle name="Comma 2 19" xfId="24"/>
    <cellStyle name="Comma 2 19 2" xfId="2604"/>
    <cellStyle name="Comma 2 2" xfId="25"/>
    <cellStyle name="Comma 2 2 2" xfId="226"/>
    <cellStyle name="Comma 2 2 2 2" xfId="2605"/>
    <cellStyle name="Comma 2 2 3" xfId="341"/>
    <cellStyle name="Comma 2 2 4" xfId="342"/>
    <cellStyle name="Comma 2 20" xfId="26"/>
    <cellStyle name="Comma 2 20 2" xfId="2606"/>
    <cellStyle name="Comma 2 21" xfId="27"/>
    <cellStyle name="Comma 2 21 2" xfId="2607"/>
    <cellStyle name="Comma 2 22" xfId="28"/>
    <cellStyle name="Comma 2 22 2" xfId="2608"/>
    <cellStyle name="Comma 2 23" xfId="29"/>
    <cellStyle name="Comma 2 23 2" xfId="2609"/>
    <cellStyle name="Comma 2 24" xfId="30"/>
    <cellStyle name="Comma 2 24 2" xfId="2610"/>
    <cellStyle name="Comma 2 25" xfId="31"/>
    <cellStyle name="Comma 2 25 2" xfId="2611"/>
    <cellStyle name="Comma 2 26" xfId="32"/>
    <cellStyle name="Comma 2 26 2" xfId="2612"/>
    <cellStyle name="Comma 2 27" xfId="33"/>
    <cellStyle name="Comma 2 27 2" xfId="2613"/>
    <cellStyle name="Comma 2 28" xfId="34"/>
    <cellStyle name="Comma 2 28 2" xfId="2614"/>
    <cellStyle name="Comma 2 29" xfId="35"/>
    <cellStyle name="Comma 2 29 2" xfId="2615"/>
    <cellStyle name="Comma 2 3" xfId="36"/>
    <cellStyle name="Comma 2 3 2" xfId="343"/>
    <cellStyle name="Comma 2 30" xfId="37"/>
    <cellStyle name="Comma 2 30 2" xfId="2616"/>
    <cellStyle name="Comma 2 31" xfId="38"/>
    <cellStyle name="Comma 2 31 2" xfId="2617"/>
    <cellStyle name="Comma 2 32" xfId="39"/>
    <cellStyle name="Comma 2 32 2" xfId="2618"/>
    <cellStyle name="Comma 2 33" xfId="344"/>
    <cellStyle name="Comma 2 33 2" xfId="2619"/>
    <cellStyle name="Comma 2 34" xfId="1043"/>
    <cellStyle name="Comma 2 35" xfId="1044"/>
    <cellStyle name="Comma 2 35 2" xfId="2620"/>
    <cellStyle name="Comma 2 35 2 2" xfId="2621"/>
    <cellStyle name="Comma 2 35 2 2 2" xfId="2622"/>
    <cellStyle name="Comma 2 35 2 3" xfId="2623"/>
    <cellStyle name="Comma 2 35 3" xfId="2624"/>
    <cellStyle name="Comma 2 35 3 2" xfId="2625"/>
    <cellStyle name="Comma 2 35 4" xfId="2626"/>
    <cellStyle name="Comma 2 36" xfId="2627"/>
    <cellStyle name="Comma 2 36 2" xfId="2628"/>
    <cellStyle name="Comma 2 36 2 2" xfId="2629"/>
    <cellStyle name="Comma 2 36 2 2 2" xfId="2630"/>
    <cellStyle name="Comma 2 36 2 3" xfId="2631"/>
    <cellStyle name="Comma 2 36 3" xfId="2632"/>
    <cellStyle name="Comma 2 36 3 2" xfId="2633"/>
    <cellStyle name="Comma 2 36 4" xfId="2634"/>
    <cellStyle name="Comma 2 4" xfId="40"/>
    <cellStyle name="Comma 2 4 2" xfId="2635"/>
    <cellStyle name="Comma 2 5" xfId="41"/>
    <cellStyle name="Comma 2 5 2" xfId="2636"/>
    <cellStyle name="Comma 2 6" xfId="42"/>
    <cellStyle name="Comma 2 6 2" xfId="2637"/>
    <cellStyle name="Comma 2 7" xfId="43"/>
    <cellStyle name="Comma 2 7 2" xfId="2638"/>
    <cellStyle name="Comma 2 8" xfId="44"/>
    <cellStyle name="Comma 2 8 2" xfId="2639"/>
    <cellStyle name="Comma 2 9" xfId="45"/>
    <cellStyle name="Comma 2 9 2" xfId="2640"/>
    <cellStyle name="Comma 20" xfId="345"/>
    <cellStyle name="Comma 21" xfId="346"/>
    <cellStyle name="Comma 22" xfId="347"/>
    <cellStyle name="Comma 22 2" xfId="348"/>
    <cellStyle name="Comma 22 2 2" xfId="349"/>
    <cellStyle name="Comma 22 2 3" xfId="350"/>
    <cellStyle name="Comma 22 2 4" xfId="351"/>
    <cellStyle name="Comma 22 3" xfId="352"/>
    <cellStyle name="Comma 22 3 2" xfId="353"/>
    <cellStyle name="Comma 22 3 3" xfId="354"/>
    <cellStyle name="Comma 22 3 4" xfId="355"/>
    <cellStyle name="Comma 22 4" xfId="356"/>
    <cellStyle name="Comma 22 5" xfId="357"/>
    <cellStyle name="Comma 22 6" xfId="358"/>
    <cellStyle name="Comma 22 7" xfId="359"/>
    <cellStyle name="Comma 23" xfId="360"/>
    <cellStyle name="Comma 24" xfId="361"/>
    <cellStyle name="Comma 25" xfId="362"/>
    <cellStyle name="Comma 26" xfId="363"/>
    <cellStyle name="Comma 27" xfId="364"/>
    <cellStyle name="Comma 28" xfId="2641"/>
    <cellStyle name="Comma 28 2" xfId="2642"/>
    <cellStyle name="Comma 28 2 2" xfId="2643"/>
    <cellStyle name="Comma 28 3" xfId="2644"/>
    <cellStyle name="Comma 29" xfId="2645"/>
    <cellStyle name="Comma 29 2" xfId="2646"/>
    <cellStyle name="Comma 29 2 2" xfId="2647"/>
    <cellStyle name="Comma 29 3" xfId="2648"/>
    <cellStyle name="Comma 3" xfId="46"/>
    <cellStyle name="Comma 3 2" xfId="3"/>
    <cellStyle name="Comma 3 2 2" xfId="365"/>
    <cellStyle name="Comma 3 2 3" xfId="1045"/>
    <cellStyle name="Comma 3 3" xfId="366"/>
    <cellStyle name="Comma 3 3 2" xfId="367"/>
    <cellStyle name="Comma 3 3 3" xfId="811"/>
    <cellStyle name="Comma 3 3 4" xfId="2649"/>
    <cellStyle name="Comma 3 4" xfId="368"/>
    <cellStyle name="Comma 3 4 2" xfId="2650"/>
    <cellStyle name="Comma 3 4 3" xfId="2651"/>
    <cellStyle name="Comma 3 4 3 2" xfId="2652"/>
    <cellStyle name="Comma 3 4 3 2 2" xfId="2653"/>
    <cellStyle name="Comma 3 4 3 3" xfId="2654"/>
    <cellStyle name="Comma 3 4 4" xfId="2655"/>
    <cellStyle name="Comma 3 4 4 2" xfId="2656"/>
    <cellStyle name="Comma 3 4 5" xfId="2657"/>
    <cellStyle name="Comma 3 5" xfId="369"/>
    <cellStyle name="Comma 3 6" xfId="810"/>
    <cellStyle name="Comma 3_AP_Reate_GL" xfId="370"/>
    <cellStyle name="Comma 30" xfId="2658"/>
    <cellStyle name="Comma 31" xfId="2659"/>
    <cellStyle name="Comma 4" xfId="47"/>
    <cellStyle name="Comma 4 2" xfId="258"/>
    <cellStyle name="Comma 4 2 2" xfId="371"/>
    <cellStyle name="Comma 4 2 2 2" xfId="979"/>
    <cellStyle name="Comma 4 2 2 2 2" xfId="2660"/>
    <cellStyle name="Comma 4 2 2 2 2 2" xfId="2661"/>
    <cellStyle name="Comma 4 2 2 2 3" xfId="2662"/>
    <cellStyle name="Comma 4 2 2 3" xfId="2663"/>
    <cellStyle name="Comma 4 2 2 3 2" xfId="2664"/>
    <cellStyle name="Comma 4 2 2 4" xfId="2665"/>
    <cellStyle name="Comma 4 2 3" xfId="372"/>
    <cellStyle name="Comma 4 2 3 2" xfId="373"/>
    <cellStyle name="Comma 4 2 3 2 2" xfId="374"/>
    <cellStyle name="Comma 4 2 3 2 3" xfId="375"/>
    <cellStyle name="Comma 4 2 3 2 4" xfId="376"/>
    <cellStyle name="Comma 4 2 3 2 5" xfId="377"/>
    <cellStyle name="Comma 4 2 3 2 5 2" xfId="980"/>
    <cellStyle name="Comma 4 2 3 2 5 2 2" xfId="2666"/>
    <cellStyle name="Comma 4 2 3 2 5 2 2 2" xfId="2667"/>
    <cellStyle name="Comma 4 2 3 2 5 2 3" xfId="2668"/>
    <cellStyle name="Comma 4 2 3 2 5 3" xfId="2669"/>
    <cellStyle name="Comma 4 2 3 2 5 3 2" xfId="2670"/>
    <cellStyle name="Comma 4 2 3 2 5 4" xfId="2671"/>
    <cellStyle name="Comma 4 2 3 3" xfId="378"/>
    <cellStyle name="Comma 4 2 3 3 2" xfId="379"/>
    <cellStyle name="Comma 4 2 3 3 3" xfId="380"/>
    <cellStyle name="Comma 4 2 3 3 4" xfId="381"/>
    <cellStyle name="Comma 4 2 3 4" xfId="382"/>
    <cellStyle name="Comma 4 2 3 5" xfId="383"/>
    <cellStyle name="Comma 4 2 3 6" xfId="384"/>
    <cellStyle name="Comma 4 2 3 7" xfId="385"/>
    <cellStyle name="Comma 4 2 4" xfId="961"/>
    <cellStyle name="Comma 4 2 4 2" xfId="2672"/>
    <cellStyle name="Comma 4 2 4 2 2" xfId="2673"/>
    <cellStyle name="Comma 4 2 4 3" xfId="2674"/>
    <cellStyle name="Comma 4 2 5" xfId="2675"/>
    <cellStyle name="Comma 4 2 5 2" xfId="2676"/>
    <cellStyle name="Comma 4 2 5 2 2" xfId="2677"/>
    <cellStyle name="Comma 4 2 5 3" xfId="2678"/>
    <cellStyle name="Comma 4 3" xfId="386"/>
    <cellStyle name="Comma 4 3 2 2" xfId="387"/>
    <cellStyle name="Comma 4 4" xfId="388"/>
    <cellStyle name="Comma 4 5" xfId="389"/>
    <cellStyle name="Comma 5" xfId="48"/>
    <cellStyle name="Comma 5 2" xfId="174"/>
    <cellStyle name="Comma 5 2 2" xfId="271"/>
    <cellStyle name="Comma 5 2 2 2" xfId="390"/>
    <cellStyle name="Comma 5 2 2 2 2" xfId="981"/>
    <cellStyle name="Comma 5 2 2 2 2 2" xfId="2679"/>
    <cellStyle name="Comma 5 2 2 2 2 2 2" xfId="2680"/>
    <cellStyle name="Comma 5 2 2 2 2 3" xfId="2681"/>
    <cellStyle name="Comma 5 2 2 2 3" xfId="2682"/>
    <cellStyle name="Comma 5 2 2 2 3 2" xfId="2683"/>
    <cellStyle name="Comma 5 2 2 2 4" xfId="2684"/>
    <cellStyle name="Comma 5 2 2 3" xfId="968"/>
    <cellStyle name="Comma 5 2 2 3 2" xfId="2685"/>
    <cellStyle name="Comma 5 2 2 3 2 2" xfId="2686"/>
    <cellStyle name="Comma 5 2 2 3 3" xfId="2687"/>
    <cellStyle name="Comma 5 2 2 4" xfId="2688"/>
    <cellStyle name="Comma 5 2 2 4 2" xfId="2689"/>
    <cellStyle name="Comma 5 2 2 5" xfId="2690"/>
    <cellStyle name="Comma 5 2 3" xfId="888"/>
    <cellStyle name="Comma 5 2 3 2" xfId="2691"/>
    <cellStyle name="Comma 5 2 3 2 2" xfId="2692"/>
    <cellStyle name="Comma 5 2 3 3" xfId="2693"/>
    <cellStyle name="Comma 5 2 4" xfId="2694"/>
    <cellStyle name="Comma 5 2 4 2" xfId="2695"/>
    <cellStyle name="Comma 5 2 4 2 2" xfId="2696"/>
    <cellStyle name="Comma 5 2 4 3" xfId="2697"/>
    <cellStyle name="Comma 5 3" xfId="391"/>
    <cellStyle name="Comma 5 3 2" xfId="982"/>
    <cellStyle name="Comma 5 3 2 2" xfId="2698"/>
    <cellStyle name="Comma 5 3 2 2 2" xfId="2699"/>
    <cellStyle name="Comma 5 3 2 3" xfId="2700"/>
    <cellStyle name="Comma 5 3 3" xfId="2701"/>
    <cellStyle name="Comma 5 3 3 2" xfId="2702"/>
    <cellStyle name="Comma 5 3 4" xfId="2703"/>
    <cellStyle name="Comma 5 4" xfId="392"/>
    <cellStyle name="Comma 5 4 2" xfId="983"/>
    <cellStyle name="Comma 5 4 2 2" xfId="2704"/>
    <cellStyle name="Comma 5 4 2 2 2" xfId="2705"/>
    <cellStyle name="Comma 5 4 2 3" xfId="2706"/>
    <cellStyle name="Comma 5 4 3" xfId="2707"/>
    <cellStyle name="Comma 5 4 3 2" xfId="2708"/>
    <cellStyle name="Comma 5 4 4" xfId="2709"/>
    <cellStyle name="Comma 5 5" xfId="393"/>
    <cellStyle name="Comma 6" xfId="10"/>
    <cellStyle name="Comma 6 2" xfId="147"/>
    <cellStyle name="Comma 6 2 2" xfId="394"/>
    <cellStyle name="Comma 6 2 2 2" xfId="2710"/>
    <cellStyle name="Comma 6 2 2 3" xfId="2711"/>
    <cellStyle name="Comma 6 2 2 3 2" xfId="2712"/>
    <cellStyle name="Comma 6 2 2 3 2 2" xfId="2713"/>
    <cellStyle name="Comma 6 2 2 3 3" xfId="2714"/>
    <cellStyle name="Comma 6 2 2 4" xfId="2715"/>
    <cellStyle name="Comma 6 2 2 4 2" xfId="2716"/>
    <cellStyle name="Comma 6 2 2 5" xfId="2717"/>
    <cellStyle name="Comma 6 2 3" xfId="863"/>
    <cellStyle name="Comma 6 2 3 2" xfId="2718"/>
    <cellStyle name="Comma 6 2 3 2 2" xfId="2719"/>
    <cellStyle name="Comma 6 2 3 3" xfId="2720"/>
    <cellStyle name="Comma 6 2 4" xfId="2721"/>
    <cellStyle name="Comma 6 2 4 2" xfId="2722"/>
    <cellStyle name="Comma 6 2 4 2 2" xfId="2723"/>
    <cellStyle name="Comma 6 2 4 3" xfId="2724"/>
    <cellStyle name="Comma 6 2 5" xfId="2725"/>
    <cellStyle name="Comma 6 2 5 2" xfId="2726"/>
    <cellStyle name="Comma 6 2 6" xfId="2727"/>
    <cellStyle name="Comma 6 3" xfId="170"/>
    <cellStyle name="Comma 6 3 2" xfId="884"/>
    <cellStyle name="Comma 6 3 2 2" xfId="2728"/>
    <cellStyle name="Comma 6 3 2 2 2" xfId="2729"/>
    <cellStyle name="Comma 6 3 2 3" xfId="2730"/>
    <cellStyle name="Comma 6 3 3" xfId="2731"/>
    <cellStyle name="Comma 6 3 3 2" xfId="2732"/>
    <cellStyle name="Comma 6 3 3 2 2" xfId="2733"/>
    <cellStyle name="Comma 6 3 3 3" xfId="2734"/>
    <cellStyle name="Comma 6 3 4" xfId="2735"/>
    <cellStyle name="Comma 6 3 4 2" xfId="2736"/>
    <cellStyle name="Comma 6 3 5" xfId="2737"/>
    <cellStyle name="Comma 6 4" xfId="135"/>
    <cellStyle name="Comma 6 4 2" xfId="852"/>
    <cellStyle name="Comma 6 4 2 2" xfId="2738"/>
    <cellStyle name="Comma 6 4 2 2 2" xfId="2739"/>
    <cellStyle name="Comma 6 4 2 3" xfId="2740"/>
    <cellStyle name="Comma 6 4 3" xfId="2741"/>
    <cellStyle name="Comma 6 4 3 2" xfId="2742"/>
    <cellStyle name="Comma 6 4 4" xfId="2743"/>
    <cellStyle name="Comma 6 5" xfId="814"/>
    <cellStyle name="Comma 6 5 2" xfId="2744"/>
    <cellStyle name="Comma 6 5 2 2" xfId="2745"/>
    <cellStyle name="Comma 6 5 3" xfId="2746"/>
    <cellStyle name="Comma 6 6" xfId="1046"/>
    <cellStyle name="Comma 6 6 2" xfId="2747"/>
    <cellStyle name="Comma 6 6 2 2" xfId="2748"/>
    <cellStyle name="Comma 6 6 3" xfId="2749"/>
    <cellStyle name="Comma 6 7" xfId="2750"/>
    <cellStyle name="Comma 6 7 2" xfId="2751"/>
    <cellStyle name="Comma 6 8" xfId="2752"/>
    <cellStyle name="Comma 7" xfId="262"/>
    <cellStyle name="Comma 7 2" xfId="148"/>
    <cellStyle name="Comma 7 2 2" xfId="2753"/>
    <cellStyle name="Comma 7 2 3" xfId="2754"/>
    <cellStyle name="Comma 7 2 3 2" xfId="2755"/>
    <cellStyle name="Comma 7 2 3 2 2" xfId="2756"/>
    <cellStyle name="Comma 7 2 3 3" xfId="2757"/>
    <cellStyle name="Comma 7 2 4" xfId="2758"/>
    <cellStyle name="Comma 7 2 4 2" xfId="2759"/>
    <cellStyle name="Comma 7 2 5" xfId="2760"/>
    <cellStyle name="Comma 7 3" xfId="169"/>
    <cellStyle name="Comma 7 4" xfId="136"/>
    <cellStyle name="Comma 7 5" xfId="1047"/>
    <cellStyle name="Comma 7 6" xfId="2761"/>
    <cellStyle name="Comma 7 6 2" xfId="2762"/>
    <cellStyle name="Comma 7 6 2 2" xfId="2763"/>
    <cellStyle name="Comma 7 6 3" xfId="2764"/>
    <cellStyle name="Comma 7 7" xfId="2765"/>
    <cellStyle name="Comma 7 7 2" xfId="2766"/>
    <cellStyle name="Comma 7 8" xfId="2767"/>
    <cellStyle name="Comma 8" xfId="395"/>
    <cellStyle name="Comma 8 2" xfId="396"/>
    <cellStyle name="Comma 8 2 2" xfId="2768"/>
    <cellStyle name="Comma 8 3" xfId="397"/>
    <cellStyle name="Comma 8 4" xfId="2769"/>
    <cellStyle name="Comma 8 5" xfId="2770"/>
    <cellStyle name="Comma 8 5 2" xfId="2771"/>
    <cellStyle name="Comma 8 5 2 2" xfId="2772"/>
    <cellStyle name="Comma 8 5 3" xfId="2773"/>
    <cellStyle name="Comma 8 6" xfId="2774"/>
    <cellStyle name="Comma 8 6 2" xfId="2775"/>
    <cellStyle name="Comma 8 7" xfId="2776"/>
    <cellStyle name="Comma 9" xfId="398"/>
    <cellStyle name="Comma 9 2" xfId="399"/>
    <cellStyle name="Comma 9 3" xfId="400"/>
    <cellStyle name="Comma 9 3 2" xfId="401"/>
    <cellStyle name="Comma 9 3 2 2" xfId="402"/>
    <cellStyle name="Comma 9 3 2 2 2" xfId="403"/>
    <cellStyle name="Comma 9 3 2 2 2 2" xfId="988"/>
    <cellStyle name="Comma 9 3 2 2 2 2 2" xfId="2777"/>
    <cellStyle name="Comma 9 3 2 2 2 2 2 2" xfId="2778"/>
    <cellStyle name="Comma 9 3 2 2 2 2 3" xfId="2779"/>
    <cellStyle name="Comma 9 3 2 2 2 3" xfId="2780"/>
    <cellStyle name="Comma 9 3 2 2 2 3 2" xfId="2781"/>
    <cellStyle name="Comma 9 3 2 2 2 4" xfId="2782"/>
    <cellStyle name="Comma 9 3 2 2 3" xfId="987"/>
    <cellStyle name="Comma 9 3 2 2 3 2" xfId="2783"/>
    <cellStyle name="Comma 9 3 2 2 3 2 2" xfId="2784"/>
    <cellStyle name="Comma 9 3 2 2 3 3" xfId="2785"/>
    <cellStyle name="Comma 9 3 2 2 4" xfId="2786"/>
    <cellStyle name="Comma 9 3 2 2 4 2" xfId="2787"/>
    <cellStyle name="Comma 9 3 2 2 5" xfId="2788"/>
    <cellStyle name="Comma 9 3 2 3" xfId="404"/>
    <cellStyle name="Comma 9 3 2 3 2" xfId="989"/>
    <cellStyle name="Comma 9 3 2 3 2 2" xfId="2789"/>
    <cellStyle name="Comma 9 3 2 3 2 2 2" xfId="2790"/>
    <cellStyle name="Comma 9 3 2 3 2 3" xfId="2791"/>
    <cellStyle name="Comma 9 3 2 3 3" xfId="2792"/>
    <cellStyle name="Comma 9 3 2 3 3 2" xfId="2793"/>
    <cellStyle name="Comma 9 3 2 3 4" xfId="2794"/>
    <cellStyle name="Comma 9 3 2 4" xfId="986"/>
    <cellStyle name="Comma 9 3 2 4 2" xfId="2795"/>
    <cellStyle name="Comma 9 3 2 4 2 2" xfId="2796"/>
    <cellStyle name="Comma 9 3 2 4 3" xfId="2797"/>
    <cellStyle name="Comma 9 3 2 5" xfId="2798"/>
    <cellStyle name="Comma 9 3 2 5 2" xfId="2799"/>
    <cellStyle name="Comma 9 3 2 6" xfId="2800"/>
    <cellStyle name="Comma 9 3 3" xfId="405"/>
    <cellStyle name="Comma 9 3 3 2" xfId="406"/>
    <cellStyle name="Comma 9 3 3 2 2" xfId="991"/>
    <cellStyle name="Comma 9 3 3 2 2 2" xfId="2801"/>
    <cellStyle name="Comma 9 3 3 2 2 2 2" xfId="2802"/>
    <cellStyle name="Comma 9 3 3 2 2 3" xfId="2803"/>
    <cellStyle name="Comma 9 3 3 2 3" xfId="2804"/>
    <cellStyle name="Comma 9 3 3 2 3 2" xfId="2805"/>
    <cellStyle name="Comma 9 3 3 2 4" xfId="2806"/>
    <cellStyle name="Comma 9 3 3 3" xfId="990"/>
    <cellStyle name="Comma 9 3 3 3 2" xfId="2807"/>
    <cellStyle name="Comma 9 3 3 3 2 2" xfId="2808"/>
    <cellStyle name="Comma 9 3 3 3 3" xfId="2809"/>
    <cellStyle name="Comma 9 3 3 4" xfId="2810"/>
    <cellStyle name="Comma 9 3 3 4 2" xfId="2811"/>
    <cellStyle name="Comma 9 3 3 5" xfId="2812"/>
    <cellStyle name="Comma 9 3 4" xfId="407"/>
    <cellStyle name="Comma 9 3 4 2" xfId="992"/>
    <cellStyle name="Comma 9 3 4 2 2" xfId="2813"/>
    <cellStyle name="Comma 9 3 4 2 2 2" xfId="2814"/>
    <cellStyle name="Comma 9 3 4 2 3" xfId="2815"/>
    <cellStyle name="Comma 9 3 4 3" xfId="2816"/>
    <cellStyle name="Comma 9 3 4 3 2" xfId="2817"/>
    <cellStyle name="Comma 9 3 4 4" xfId="2818"/>
    <cellStyle name="Comma 9 3 5" xfId="985"/>
    <cellStyle name="Comma 9 3 5 2" xfId="2819"/>
    <cellStyle name="Comma 9 3 5 2 2" xfId="2820"/>
    <cellStyle name="Comma 9 3 5 3" xfId="2821"/>
    <cellStyle name="Comma 9 3 6" xfId="2822"/>
    <cellStyle name="Comma 9 3 6 2" xfId="2823"/>
    <cellStyle name="Comma 9 3 7" xfId="2824"/>
    <cellStyle name="Comma 9 4" xfId="408"/>
    <cellStyle name="Comma 9 4 2" xfId="409"/>
    <cellStyle name="Comma 9 4 2 2" xfId="410"/>
    <cellStyle name="Comma 9 4 2 2 2" xfId="995"/>
    <cellStyle name="Comma 9 4 2 2 2 2" xfId="2825"/>
    <cellStyle name="Comma 9 4 2 2 2 2 2" xfId="2826"/>
    <cellStyle name="Comma 9 4 2 2 2 3" xfId="2827"/>
    <cellStyle name="Comma 9 4 2 2 3" xfId="2828"/>
    <cellStyle name="Comma 9 4 2 2 3 2" xfId="2829"/>
    <cellStyle name="Comma 9 4 2 2 4" xfId="2830"/>
    <cellStyle name="Comma 9 4 2 3" xfId="994"/>
    <cellStyle name="Comma 9 4 2 3 2" xfId="2831"/>
    <cellStyle name="Comma 9 4 2 3 2 2" xfId="2832"/>
    <cellStyle name="Comma 9 4 2 3 3" xfId="2833"/>
    <cellStyle name="Comma 9 4 2 4" xfId="2834"/>
    <cellStyle name="Comma 9 4 2 4 2" xfId="2835"/>
    <cellStyle name="Comma 9 4 2 5" xfId="2836"/>
    <cellStyle name="Comma 9 4 3" xfId="411"/>
    <cellStyle name="Comma 9 4 3 2" xfId="996"/>
    <cellStyle name="Comma 9 4 3 2 2" xfId="2837"/>
    <cellStyle name="Comma 9 4 3 2 2 2" xfId="2838"/>
    <cellStyle name="Comma 9 4 3 2 3" xfId="2839"/>
    <cellStyle name="Comma 9 4 3 3" xfId="2840"/>
    <cellStyle name="Comma 9 4 3 3 2" xfId="2841"/>
    <cellStyle name="Comma 9 4 3 4" xfId="2842"/>
    <cellStyle name="Comma 9 4 4" xfId="993"/>
    <cellStyle name="Comma 9 4 4 2" xfId="2843"/>
    <cellStyle name="Comma 9 4 4 2 2" xfId="2844"/>
    <cellStyle name="Comma 9 4 4 3" xfId="2845"/>
    <cellStyle name="Comma 9 4 5" xfId="2846"/>
    <cellStyle name="Comma 9 4 5 2" xfId="2847"/>
    <cellStyle name="Comma 9 4 6" xfId="2848"/>
    <cellStyle name="Comma 9 5" xfId="412"/>
    <cellStyle name="Comma 9 5 2" xfId="413"/>
    <cellStyle name="Comma 9 5 2 2" xfId="414"/>
    <cellStyle name="Comma 9 5 2 2 2" xfId="999"/>
    <cellStyle name="Comma 9 5 2 2 2 2" xfId="2849"/>
    <cellStyle name="Comma 9 5 2 2 2 2 2" xfId="2850"/>
    <cellStyle name="Comma 9 5 2 2 2 3" xfId="2851"/>
    <cellStyle name="Comma 9 5 2 2 3" xfId="2852"/>
    <cellStyle name="Comma 9 5 2 2 3 2" xfId="2853"/>
    <cellStyle name="Comma 9 5 2 2 4" xfId="2854"/>
    <cellStyle name="Comma 9 5 2 3" xfId="998"/>
    <cellStyle name="Comma 9 5 2 3 2" xfId="2855"/>
    <cellStyle name="Comma 9 5 2 3 2 2" xfId="2856"/>
    <cellStyle name="Comma 9 5 2 3 3" xfId="2857"/>
    <cellStyle name="Comma 9 5 2 4" xfId="2858"/>
    <cellStyle name="Comma 9 5 2 4 2" xfId="2859"/>
    <cellStyle name="Comma 9 5 2 5" xfId="2860"/>
    <cellStyle name="Comma 9 5 3" xfId="997"/>
    <cellStyle name="Comma 9 5 3 2" xfId="2861"/>
    <cellStyle name="Comma 9 5 3 2 2" xfId="2862"/>
    <cellStyle name="Comma 9 5 3 3" xfId="2863"/>
    <cellStyle name="Comma 9 5 4" xfId="2864"/>
    <cellStyle name="Comma 9 5 4 2" xfId="2865"/>
    <cellStyle name="Comma 9 5 5" xfId="2866"/>
    <cellStyle name="Comma 9 6" xfId="984"/>
    <cellStyle name="Comma 9 6 2" xfId="2867"/>
    <cellStyle name="Comma 9 6 2 2" xfId="2868"/>
    <cellStyle name="Comma 9 6 3" xfId="2869"/>
    <cellStyle name="Comma 9 7" xfId="2870"/>
    <cellStyle name="Comma 9 7 2" xfId="2871"/>
    <cellStyle name="Comma 9 7 2 2" xfId="2872"/>
    <cellStyle name="Comma 9 7 3" xfId="2873"/>
    <cellStyle name="Comma_Sales 2007 24Sep07" xfId="6"/>
    <cellStyle name="Comma0_SUMMARY(INST) " xfId="415"/>
    <cellStyle name="comma1" xfId="416"/>
    <cellStyle name="Condensed_Epson" xfId="417"/>
    <cellStyle name="Copied" xfId="2874"/>
    <cellStyle name="Currency 2" xfId="418"/>
    <cellStyle name="Currency 2 2" xfId="2875"/>
    <cellStyle name="Entered" xfId="2876"/>
    <cellStyle name="Euro" xfId="419"/>
    <cellStyle name="Explanatory Text 2" xfId="2877"/>
    <cellStyle name="Explanatory Text 3" xfId="2878"/>
    <cellStyle name="fs" xfId="420"/>
    <cellStyle name="G12" xfId="49"/>
    <cellStyle name="G12 2" xfId="816"/>
    <cellStyle name="Good 2" xfId="2879"/>
    <cellStyle name="Good 3" xfId="2880"/>
    <cellStyle name="Grey" xfId="421"/>
    <cellStyle name="Header1" xfId="422"/>
    <cellStyle name="Header1 2" xfId="2881"/>
    <cellStyle name="Header2" xfId="423"/>
    <cellStyle name="Header2 2" xfId="1000"/>
    <cellStyle name="Header2 3" xfId="2882"/>
    <cellStyle name="Heading 1 2" xfId="2883"/>
    <cellStyle name="Heading 1 3" xfId="2884"/>
    <cellStyle name="Heading 2 2" xfId="2885"/>
    <cellStyle name="Heading 2 3" xfId="2886"/>
    <cellStyle name="Heading 3 2" xfId="2887"/>
    <cellStyle name="Heading 3 3" xfId="2888"/>
    <cellStyle name="Heading 4 2" xfId="2889"/>
    <cellStyle name="Heading 4 3" xfId="2890"/>
    <cellStyle name="ht" xfId="424"/>
    <cellStyle name="Hyperlink" xfId="12" builtinId="8"/>
    <cellStyle name="Hyperlink 2" xfId="425"/>
    <cellStyle name="Hyperlink 2 2" xfId="426"/>
    <cellStyle name="Hyperlink 2 3" xfId="2891"/>
    <cellStyle name="Hyperlink 3" xfId="427"/>
    <cellStyle name="Input [yellow]" xfId="428"/>
    <cellStyle name="Input [yellow] 2" xfId="1001"/>
    <cellStyle name="Input 2" xfId="2892"/>
    <cellStyle name="Input 3" xfId="2893"/>
    <cellStyle name="Input 4" xfId="2894"/>
    <cellStyle name="Linked Cell 2" xfId="2895"/>
    <cellStyle name="Linked Cell 3" xfId="2896"/>
    <cellStyle name="Migliaia (0)_COVER4089" xfId="429"/>
    <cellStyle name="Migliaia_COVER4089" xfId="430"/>
    <cellStyle name="Millares [0]_elec" xfId="431"/>
    <cellStyle name="Millares_elec" xfId="432"/>
    <cellStyle name="Milliers [0]_!!!GO" xfId="2897"/>
    <cellStyle name="Milliers_!!!GO" xfId="2898"/>
    <cellStyle name="Monétaire [0]_!!!GO" xfId="2899"/>
    <cellStyle name="Monétaire_!!!GO" xfId="2900"/>
    <cellStyle name="mystyle" xfId="433"/>
    <cellStyle name="n" xfId="434"/>
    <cellStyle name="Neutral 2" xfId="2901"/>
    <cellStyle name="Neutral 3" xfId="2902"/>
    <cellStyle name="no dec" xfId="2903"/>
    <cellStyle name="Normal" xfId="0" builtinId="0"/>
    <cellStyle name="Normal - Style1" xfId="435"/>
    <cellStyle name="Normal - Style1 2" xfId="2904"/>
    <cellStyle name="Normal 10" xfId="100"/>
    <cellStyle name="Normal 10 10" xfId="1048"/>
    <cellStyle name="Normal 10 11" xfId="1049"/>
    <cellStyle name="Normal 10 2" xfId="149"/>
    <cellStyle name="Normal 10 2 2" xfId="864"/>
    <cellStyle name="Normal 10 2 2 2" xfId="2905"/>
    <cellStyle name="Normal 10 2 2 2 2" xfId="2906"/>
    <cellStyle name="Normal 10 2 2 3" xfId="2907"/>
    <cellStyle name="Normal 10 2 3" xfId="1050"/>
    <cellStyle name="Normal 10 2 3 2" xfId="2908"/>
    <cellStyle name="Normal 10 2 3 2 2" xfId="2909"/>
    <cellStyle name="Normal 10 2 3 3" xfId="2910"/>
    <cellStyle name="Normal 10 3" xfId="168"/>
    <cellStyle name="Normal 10 3 2" xfId="883"/>
    <cellStyle name="Normal 10 3 2 2" xfId="2911"/>
    <cellStyle name="Normal 10 3 2 2 2" xfId="2912"/>
    <cellStyle name="Normal 10 3 2 3" xfId="2913"/>
    <cellStyle name="Normal 10 3 3" xfId="1051"/>
    <cellStyle name="Normal 10 3 3 2" xfId="2914"/>
    <cellStyle name="Normal 10 3 3 2 2" xfId="2915"/>
    <cellStyle name="Normal 10 3 3 3" xfId="2916"/>
    <cellStyle name="Normal 10 3 4" xfId="2917"/>
    <cellStyle name="Normal 10 3 4 2" xfId="2918"/>
    <cellStyle name="Normal 10 3 4 2 2" xfId="2919"/>
    <cellStyle name="Normal 10 3 4 3" xfId="2920"/>
    <cellStyle name="Normal 10 3 5" xfId="2921"/>
    <cellStyle name="Normal 10 3 5 2" xfId="2922"/>
    <cellStyle name="Normal 10 3 6" xfId="2923"/>
    <cellStyle name="Normal 10 4" xfId="137"/>
    <cellStyle name="Normal 10 4 2" xfId="853"/>
    <cellStyle name="Normal 10 4 2 2" xfId="2924"/>
    <cellStyle name="Normal 10 4 2 2 2" xfId="2925"/>
    <cellStyle name="Normal 10 4 2 3" xfId="2926"/>
    <cellStyle name="Normal 10 4 3" xfId="1052"/>
    <cellStyle name="Normal 10 4 3 2" xfId="2927"/>
    <cellStyle name="Normal 10 4 4" xfId="1053"/>
    <cellStyle name="Normal 10 5" xfId="237"/>
    <cellStyle name="Normal 10 5 2" xfId="941"/>
    <cellStyle name="Normal 10 5 2 2" xfId="2928"/>
    <cellStyle name="Normal 10 5 2 2 2" xfId="2929"/>
    <cellStyle name="Normal 10 5 2 3" xfId="2930"/>
    <cellStyle name="Normal 10 5 3" xfId="1054"/>
    <cellStyle name="Normal 10 5 3 2" xfId="2931"/>
    <cellStyle name="Normal 10 5 4" xfId="1055"/>
    <cellStyle name="Normal 10 6" xfId="823"/>
    <cellStyle name="Normal 10 6 2" xfId="1056"/>
    <cellStyle name="Normal 10 6 2 2" xfId="2932"/>
    <cellStyle name="Normal 10 6 3" xfId="2933"/>
    <cellStyle name="Normal 10 7" xfId="1057"/>
    <cellStyle name="Normal 10 7 10" xfId="1058"/>
    <cellStyle name="Normal 10 7 11" xfId="1059"/>
    <cellStyle name="Normal 10 7 12" xfId="1060"/>
    <cellStyle name="Normal 10 7 13" xfId="1061"/>
    <cellStyle name="Normal 10 7 14" xfId="1062"/>
    <cellStyle name="Normal 10 7 2" xfId="1063"/>
    <cellStyle name="Normal 10 7 2 2" xfId="2934"/>
    <cellStyle name="Normal 10 7 3" xfId="1064"/>
    <cellStyle name="Normal 10 7 4" xfId="1065"/>
    <cellStyle name="Normal 10 7 5" xfId="1066"/>
    <cellStyle name="Normal 10 7 6" xfId="1067"/>
    <cellStyle name="Normal 10 7 7" xfId="1068"/>
    <cellStyle name="Normal 10 7 8" xfId="1069"/>
    <cellStyle name="Normal 10 7 8 2" xfId="1070"/>
    <cellStyle name="Normal 10 7 9" xfId="1071"/>
    <cellStyle name="Normal 10 7 9 2" xfId="1072"/>
    <cellStyle name="Normal 10 8" xfId="1073"/>
    <cellStyle name="Normal 10 9" xfId="1074"/>
    <cellStyle name="Normal 100" xfId="1075"/>
    <cellStyle name="Normal 101" xfId="1076"/>
    <cellStyle name="Normal 102" xfId="1077"/>
    <cellStyle name="Normal 103" xfId="1078"/>
    <cellStyle name="Normal 104" xfId="2454"/>
    <cellStyle name="Normal 105" xfId="4492"/>
    <cellStyle name="Normal 106" xfId="4493"/>
    <cellStyle name="Normal 107" xfId="4494"/>
    <cellStyle name="Normal 108" xfId="4495"/>
    <cellStyle name="Normal 109" xfId="4496"/>
    <cellStyle name="Normal 11" xfId="101"/>
    <cellStyle name="Normal 11 2" xfId="150"/>
    <cellStyle name="Normal 11 2 2" xfId="865"/>
    <cellStyle name="Normal 11 2 2 2" xfId="2935"/>
    <cellStyle name="Normal 11 2 2 2 2" xfId="2936"/>
    <cellStyle name="Normal 11 2 2 3" xfId="2937"/>
    <cellStyle name="Normal 11 2 3" xfId="1079"/>
    <cellStyle name="Normal 11 2 3 2" xfId="2938"/>
    <cellStyle name="Normal 11 2 3 2 2" xfId="2939"/>
    <cellStyle name="Normal 11 2 3 3" xfId="2940"/>
    <cellStyle name="Normal 11 3" xfId="167"/>
    <cellStyle name="Normal 11 3 2" xfId="882"/>
    <cellStyle name="Normal 11 3 2 2" xfId="2941"/>
    <cellStyle name="Normal 11 3 2 2 2" xfId="2942"/>
    <cellStyle name="Normal 11 3 2 3" xfId="2943"/>
    <cellStyle name="Normal 11 3 3" xfId="1080"/>
    <cellStyle name="Normal 11 3 3 2" xfId="2944"/>
    <cellStyle name="Normal 11 3 3 2 2" xfId="2945"/>
    <cellStyle name="Normal 11 3 3 3" xfId="2946"/>
    <cellStyle name="Normal 11 3 4" xfId="1081"/>
    <cellStyle name="Normal 11 3 4 2" xfId="2947"/>
    <cellStyle name="Normal 11 3 4 2 2" xfId="2948"/>
    <cellStyle name="Normal 11 3 4 3" xfId="2949"/>
    <cellStyle name="Normal 11 3 5" xfId="2950"/>
    <cellStyle name="Normal 11 3 5 2" xfId="2951"/>
    <cellStyle name="Normal 11 3 6" xfId="2952"/>
    <cellStyle name="Normal 11 4" xfId="138"/>
    <cellStyle name="Normal 11 4 2" xfId="854"/>
    <cellStyle name="Normal 11 4 2 2" xfId="2953"/>
    <cellStyle name="Normal 11 4 2 2 2" xfId="2954"/>
    <cellStyle name="Normal 11 4 2 3" xfId="2955"/>
    <cellStyle name="Normal 11 4 3" xfId="1082"/>
    <cellStyle name="Normal 11 4 3 2" xfId="2956"/>
    <cellStyle name="Normal 11 4 4" xfId="1083"/>
    <cellStyle name="Normal 11 5" xfId="235"/>
    <cellStyle name="Normal 11 5 2" xfId="939"/>
    <cellStyle name="Normal 11 5 2 2" xfId="2957"/>
    <cellStyle name="Normal 11 5 2 2 2" xfId="2958"/>
    <cellStyle name="Normal 11 5 2 3" xfId="2959"/>
    <cellStyle name="Normal 11 5 3" xfId="1084"/>
    <cellStyle name="Normal 11 5 3 2" xfId="2960"/>
    <cellStyle name="Normal 11 5 4" xfId="1085"/>
    <cellStyle name="Normal 11 6" xfId="824"/>
    <cellStyle name="Normal 11 6 2" xfId="2961"/>
    <cellStyle name="Normal 11 6 2 2" xfId="2962"/>
    <cellStyle name="Normal 11 6 3" xfId="2963"/>
    <cellStyle name="Normal 11 7" xfId="1086"/>
    <cellStyle name="Normal 11 7 2" xfId="2964"/>
    <cellStyle name="Normal 11 7 2 2" xfId="2965"/>
    <cellStyle name="Normal 11 7 3" xfId="2966"/>
    <cellStyle name="Normal 110" xfId="4497"/>
    <cellStyle name="Normal 111" xfId="4498"/>
    <cellStyle name="Normal 112" xfId="4499"/>
    <cellStyle name="Normal 113" xfId="4500"/>
    <cellStyle name="Normal 114" xfId="4501"/>
    <cellStyle name="Normal 115" xfId="4502"/>
    <cellStyle name="Normal 116" xfId="4503"/>
    <cellStyle name="Normal 117" xfId="4504"/>
    <cellStyle name="Normal 118" xfId="4505"/>
    <cellStyle name="Normal 119" xfId="4506"/>
    <cellStyle name="Normal 12" xfId="102"/>
    <cellStyle name="Normal 12 10" xfId="2967"/>
    <cellStyle name="Normal 12 2" xfId="151"/>
    <cellStyle name="Normal 12 2 2" xfId="866"/>
    <cellStyle name="Normal 12 2 2 2" xfId="2968"/>
    <cellStyle name="Normal 12 2 2 2 2" xfId="2969"/>
    <cellStyle name="Normal 12 2 2 3" xfId="2970"/>
    <cellStyle name="Normal 12 2 3" xfId="1087"/>
    <cellStyle name="Normal 12 2 3 2" xfId="2971"/>
    <cellStyle name="Normal 12 2 3 2 2" xfId="2972"/>
    <cellStyle name="Normal 12 2 3 3" xfId="2973"/>
    <cellStyle name="Normal 12 2 4" xfId="2974"/>
    <cellStyle name="Normal 12 2 4 2" xfId="2975"/>
    <cellStyle name="Normal 12 2 4 2 2" xfId="2976"/>
    <cellStyle name="Normal 12 2 4 3" xfId="2977"/>
    <cellStyle name="Normal 12 2 5" xfId="2978"/>
    <cellStyle name="Normal 12 2 5 2" xfId="2979"/>
    <cellStyle name="Normal 12 2 6" xfId="2980"/>
    <cellStyle name="Normal 12 3" xfId="166"/>
    <cellStyle name="Normal 12 3 2" xfId="881"/>
    <cellStyle name="Normal 12 3 2 2" xfId="2981"/>
    <cellStyle name="Normal 12 3 2 2 2" xfId="2982"/>
    <cellStyle name="Normal 12 3 2 3" xfId="2983"/>
    <cellStyle name="Normal 12 3 3" xfId="1088"/>
    <cellStyle name="Normal 12 3 3 2" xfId="2984"/>
    <cellStyle name="Normal 12 3 3 2 2" xfId="2985"/>
    <cellStyle name="Normal 12 3 3 3" xfId="2986"/>
    <cellStyle name="Normal 12 3 4" xfId="1089"/>
    <cellStyle name="Normal 12 4" xfId="139"/>
    <cellStyle name="Normal 12 4 2" xfId="855"/>
    <cellStyle name="Normal 12 4 2 2" xfId="2987"/>
    <cellStyle name="Normal 12 4 2 2 2" xfId="2988"/>
    <cellStyle name="Normal 12 4 2 3" xfId="2989"/>
    <cellStyle name="Normal 12 4 3" xfId="1090"/>
    <cellStyle name="Normal 12 4 3 2" xfId="2990"/>
    <cellStyle name="Normal 12 4 4" xfId="1091"/>
    <cellStyle name="Normal 12 5" xfId="234"/>
    <cellStyle name="Normal 12 5 2" xfId="938"/>
    <cellStyle name="Normal 12 5 2 2" xfId="2991"/>
    <cellStyle name="Normal 12 5 2 2 2" xfId="2992"/>
    <cellStyle name="Normal 12 5 2 3" xfId="2993"/>
    <cellStyle name="Normal 12 5 3" xfId="1092"/>
    <cellStyle name="Normal 12 5 3 2" xfId="2994"/>
    <cellStyle name="Normal 12 5 4" xfId="1093"/>
    <cellStyle name="Normal 12 6" xfId="825"/>
    <cellStyle name="Normal 12 6 2" xfId="2995"/>
    <cellStyle name="Normal 12 6 2 2" xfId="2996"/>
    <cellStyle name="Normal 12 6 3" xfId="2997"/>
    <cellStyle name="Normal 12 7" xfId="1094"/>
    <cellStyle name="Normal 12 7 2" xfId="2998"/>
    <cellStyle name="Normal 12 7 2 2" xfId="2999"/>
    <cellStyle name="Normal 12 7 3" xfId="3000"/>
    <cellStyle name="Normal 12 8" xfId="3001"/>
    <cellStyle name="Normal 12 8 2" xfId="3002"/>
    <cellStyle name="Normal 12 8 2 2" xfId="3003"/>
    <cellStyle name="Normal 12 8 3" xfId="3004"/>
    <cellStyle name="Normal 12 9" xfId="3005"/>
    <cellStyle name="Normal 12 9 2" xfId="3006"/>
    <cellStyle name="Normal 120" xfId="4507"/>
    <cellStyle name="Normal 121" xfId="4508"/>
    <cellStyle name="Normal 122" xfId="4509"/>
    <cellStyle name="Normal 123" xfId="4510"/>
    <cellStyle name="Normal 124" xfId="4511"/>
    <cellStyle name="Normal 125" xfId="4512"/>
    <cellStyle name="Normal 126" xfId="4513"/>
    <cellStyle name="Normal 126 2" xfId="4514"/>
    <cellStyle name="Normal 13" xfId="103"/>
    <cellStyle name="Normal 13 10" xfId="436"/>
    <cellStyle name="Normal 13 11" xfId="826"/>
    <cellStyle name="Normal 13 11 2" xfId="3007"/>
    <cellStyle name="Normal 13 11 2 2" xfId="3008"/>
    <cellStyle name="Normal 13 11 3" xfId="3009"/>
    <cellStyle name="Normal 13 12" xfId="3010"/>
    <cellStyle name="Normal 13 12 2" xfId="3011"/>
    <cellStyle name="Normal 13 12 2 2" xfId="3012"/>
    <cellStyle name="Normal 13 12 3" xfId="3013"/>
    <cellStyle name="Normal 13 13" xfId="3014"/>
    <cellStyle name="Normal 13 13 2" xfId="3015"/>
    <cellStyle name="Normal 13 13 2 2" xfId="3016"/>
    <cellStyle name="Normal 13 13 3" xfId="3017"/>
    <cellStyle name="Normal 13 14" xfId="3018"/>
    <cellStyle name="Normal 13 14 2" xfId="3019"/>
    <cellStyle name="Normal 13 15" xfId="3020"/>
    <cellStyle name="Normal 13 16" xfId="3021"/>
    <cellStyle name="Normal 13 2" xfId="152"/>
    <cellStyle name="Normal 13 2 2" xfId="867"/>
    <cellStyle name="Normal 13 2 2 2" xfId="3022"/>
    <cellStyle name="Normal 13 2 2 2 2" xfId="3023"/>
    <cellStyle name="Normal 13 2 2 3" xfId="3024"/>
    <cellStyle name="Normal 13 2 3" xfId="1095"/>
    <cellStyle name="Normal 13 2 3 2" xfId="3025"/>
    <cellStyle name="Normal 13 2 3 2 2" xfId="3026"/>
    <cellStyle name="Normal 13 2 3 3" xfId="3027"/>
    <cellStyle name="Normal 13 2 4" xfId="3028"/>
    <cellStyle name="Normal 13 2 4 2" xfId="3029"/>
    <cellStyle name="Normal 13 2 4 2 2" xfId="3030"/>
    <cellStyle name="Normal 13 2 4 3" xfId="3031"/>
    <cellStyle name="Normal 13 2 5" xfId="3032"/>
    <cellStyle name="Normal 13 2 5 2" xfId="3033"/>
    <cellStyle name="Normal 13 2 6" xfId="3034"/>
    <cellStyle name="Normal 13 3" xfId="165"/>
    <cellStyle name="Normal 13 3 2" xfId="437"/>
    <cellStyle name="Normal 13 3 2 2" xfId="438"/>
    <cellStyle name="Normal 13 3 2 3" xfId="439"/>
    <cellStyle name="Normal 13 3 2 4" xfId="440"/>
    <cellStyle name="Normal 13 3 3" xfId="441"/>
    <cellStyle name="Normal 13 3 3 2" xfId="442"/>
    <cellStyle name="Normal 13 3 3 3" xfId="443"/>
    <cellStyle name="Normal 13 3 3 4" xfId="444"/>
    <cellStyle name="Normal 13 3 4" xfId="445"/>
    <cellStyle name="Normal 13 3 5" xfId="446"/>
    <cellStyle name="Normal 13 3 6" xfId="447"/>
    <cellStyle name="Normal 13 3 7" xfId="448"/>
    <cellStyle name="Normal 13 3 8" xfId="880"/>
    <cellStyle name="Normal 13 3 8 2" xfId="3035"/>
    <cellStyle name="Normal 13 3 8 2 2" xfId="3036"/>
    <cellStyle name="Normal 13 3 8 3" xfId="3037"/>
    <cellStyle name="Normal 13 3 9" xfId="3038"/>
    <cellStyle name="Normal 13 3 9 2" xfId="3039"/>
    <cellStyle name="Normal 13 3 9 2 2" xfId="3040"/>
    <cellStyle name="Normal 13 3 9 3" xfId="3041"/>
    <cellStyle name="Normal 13 4" xfId="140"/>
    <cellStyle name="Normal 13 4 2" xfId="856"/>
    <cellStyle name="Normal 13 4 2 2" xfId="3042"/>
    <cellStyle name="Normal 13 4 2 2 2" xfId="3043"/>
    <cellStyle name="Normal 13 4 2 3" xfId="3044"/>
    <cellStyle name="Normal 13 4 3" xfId="1096"/>
    <cellStyle name="Normal 13 4 3 2" xfId="3045"/>
    <cellStyle name="Normal 13 4 4" xfId="1097"/>
    <cellStyle name="Normal 13 5" xfId="227"/>
    <cellStyle name="Normal 13 5 2" xfId="449"/>
    <cellStyle name="Normal 13 5 3" xfId="450"/>
    <cellStyle name="Normal 13 5 4" xfId="451"/>
    <cellStyle name="Normal 13 5 5" xfId="933"/>
    <cellStyle name="Normal 13 5 5 2" xfId="3046"/>
    <cellStyle name="Normal 13 5 5 2 2" xfId="3047"/>
    <cellStyle name="Normal 13 5 5 3" xfId="3048"/>
    <cellStyle name="Normal 13 5 6" xfId="3049"/>
    <cellStyle name="Normal 13 5 6 2" xfId="3050"/>
    <cellStyle name="Normal 13 5 7" xfId="3051"/>
    <cellStyle name="Normal 13 6" xfId="452"/>
    <cellStyle name="Normal 13 6 2" xfId="453"/>
    <cellStyle name="Normal 13 6 3" xfId="454"/>
    <cellStyle name="Normal 13 6 4" xfId="455"/>
    <cellStyle name="Normal 13 7" xfId="456"/>
    <cellStyle name="Normal 13 8" xfId="457"/>
    <cellStyle name="Normal 13 9" xfId="458"/>
    <cellStyle name="Normal 14" xfId="104"/>
    <cellStyle name="Normal 14 10" xfId="3052"/>
    <cellStyle name="Normal 14 10 2" xfId="3053"/>
    <cellStyle name="Normal 14 10 2 2" xfId="3054"/>
    <cellStyle name="Normal 14 10 3" xfId="3055"/>
    <cellStyle name="Normal 14 11" xfId="3056"/>
    <cellStyle name="Normal 14 11 2" xfId="3057"/>
    <cellStyle name="Normal 14 12" xfId="3058"/>
    <cellStyle name="Normal 14 13" xfId="3059"/>
    <cellStyle name="Normal 14 2" xfId="153"/>
    <cellStyle name="Normal 14 2 2" xfId="868"/>
    <cellStyle name="Normal 14 2 2 2" xfId="3060"/>
    <cellStyle name="Normal 14 2 2 2 2" xfId="3061"/>
    <cellStyle name="Normal 14 2 2 3" xfId="3062"/>
    <cellStyle name="Normal 14 2 3" xfId="1098"/>
    <cellStyle name="Normal 14 2 3 2" xfId="3063"/>
    <cellStyle name="Normal 14 2 3 2 2" xfId="3064"/>
    <cellStyle name="Normal 14 2 3 3" xfId="3065"/>
    <cellStyle name="Normal 14 2 4" xfId="3066"/>
    <cellStyle name="Normal 14 2 4 2" xfId="3067"/>
    <cellStyle name="Normal 14 2 4 2 2" xfId="3068"/>
    <cellStyle name="Normal 14 2 4 3" xfId="3069"/>
    <cellStyle name="Normal 14 2 5" xfId="3070"/>
    <cellStyle name="Normal 14 2 5 2" xfId="3071"/>
    <cellStyle name="Normal 14 2 6" xfId="3072"/>
    <cellStyle name="Normal 14 3" xfId="164"/>
    <cellStyle name="Normal 14 3 2" xfId="879"/>
    <cellStyle name="Normal 14 3 2 2" xfId="3073"/>
    <cellStyle name="Normal 14 3 2 2 2" xfId="3074"/>
    <cellStyle name="Normal 14 3 2 3" xfId="3075"/>
    <cellStyle name="Normal 14 3 3" xfId="1099"/>
    <cellStyle name="Normal 14 3 3 2" xfId="3076"/>
    <cellStyle name="Normal 14 3 4" xfId="1100"/>
    <cellStyle name="Normal 14 3 5" xfId="1101"/>
    <cellStyle name="Normal 14 4" xfId="141"/>
    <cellStyle name="Normal 14 4 2" xfId="857"/>
    <cellStyle name="Normal 14 4 2 2" xfId="3077"/>
    <cellStyle name="Normal 14 4 2 2 2" xfId="3078"/>
    <cellStyle name="Normal 14 4 2 3" xfId="3079"/>
    <cellStyle name="Normal 14 4 3" xfId="1102"/>
    <cellStyle name="Normal 14 4 3 2" xfId="3080"/>
    <cellStyle name="Normal 14 4 4" xfId="1103"/>
    <cellStyle name="Normal 14 5" xfId="212"/>
    <cellStyle name="Normal 14 5 2" xfId="920"/>
    <cellStyle name="Normal 14 5 2 2" xfId="3081"/>
    <cellStyle name="Normal 14 5 2 2 2" xfId="3082"/>
    <cellStyle name="Normal 14 5 2 3" xfId="3083"/>
    <cellStyle name="Normal 14 5 3" xfId="1104"/>
    <cellStyle name="Normal 14 5 3 2" xfId="3084"/>
    <cellStyle name="Normal 14 5 4" xfId="1105"/>
    <cellStyle name="Normal 14 6" xfId="459"/>
    <cellStyle name="Normal 14 7" xfId="460"/>
    <cellStyle name="Normal 14 8" xfId="827"/>
    <cellStyle name="Normal 14 8 2" xfId="3085"/>
    <cellStyle name="Normal 14 8 2 2" xfId="3086"/>
    <cellStyle name="Normal 14 8 3" xfId="3087"/>
    <cellStyle name="Normal 14 9" xfId="3088"/>
    <cellStyle name="Normal 14 9 2" xfId="3089"/>
    <cellStyle name="Normal 14 9 2 2" xfId="3090"/>
    <cellStyle name="Normal 14 9 3" xfId="3091"/>
    <cellStyle name="Normal 15" xfId="105"/>
    <cellStyle name="Normal 15 10" xfId="3092"/>
    <cellStyle name="Normal 15 2" xfId="154"/>
    <cellStyle name="Normal 15 2 2" xfId="869"/>
    <cellStyle name="Normal 15 2 2 2" xfId="3093"/>
    <cellStyle name="Normal 15 2 2 2 2" xfId="3094"/>
    <cellStyle name="Normal 15 2 2 3" xfId="3095"/>
    <cellStyle name="Normal 15 2 3" xfId="1106"/>
    <cellStyle name="Normal 15 2 3 2" xfId="3096"/>
    <cellStyle name="Normal 15 2 3 2 2" xfId="3097"/>
    <cellStyle name="Normal 15 2 3 3" xfId="3098"/>
    <cellStyle name="Normal 15 2 4" xfId="3099"/>
    <cellStyle name="Normal 15 2 4 2" xfId="3100"/>
    <cellStyle name="Normal 15 2 4 2 2" xfId="3101"/>
    <cellStyle name="Normal 15 2 4 3" xfId="3102"/>
    <cellStyle name="Normal 15 2 5" xfId="3103"/>
    <cellStyle name="Normal 15 2 5 2" xfId="3104"/>
    <cellStyle name="Normal 15 2 6" xfId="3105"/>
    <cellStyle name="Normal 15 3" xfId="163"/>
    <cellStyle name="Normal 15 3 2" xfId="878"/>
    <cellStyle name="Normal 15 3 2 2" xfId="3106"/>
    <cellStyle name="Normal 15 3 2 2 2" xfId="3107"/>
    <cellStyle name="Normal 15 3 2 3" xfId="3108"/>
    <cellStyle name="Normal 15 3 3" xfId="1107"/>
    <cellStyle name="Normal 15 3 3 2" xfId="3109"/>
    <cellStyle name="Normal 15 3 4" xfId="1108"/>
    <cellStyle name="Normal 15 4" xfId="142"/>
    <cellStyle name="Normal 15 4 2" xfId="858"/>
    <cellStyle name="Normal 15 4 2 2" xfId="3110"/>
    <cellStyle name="Normal 15 4 2 2 2" xfId="3111"/>
    <cellStyle name="Normal 15 4 2 3" xfId="3112"/>
    <cellStyle name="Normal 15 4 3" xfId="1109"/>
    <cellStyle name="Normal 15 4 3 2" xfId="3113"/>
    <cellStyle name="Normal 15 4 4" xfId="1110"/>
    <cellStyle name="Normal 15 5" xfId="211"/>
    <cellStyle name="Normal 15 5 2" xfId="919"/>
    <cellStyle name="Normal 15 5 2 2" xfId="3114"/>
    <cellStyle name="Normal 15 5 2 2 2" xfId="3115"/>
    <cellStyle name="Normal 15 5 2 3" xfId="3116"/>
    <cellStyle name="Normal 15 5 3" xfId="1111"/>
    <cellStyle name="Normal 15 5 3 2" xfId="3117"/>
    <cellStyle name="Normal 15 5 4" xfId="1112"/>
    <cellStyle name="Normal 15 6" xfId="828"/>
    <cellStyle name="Normal 15 6 2" xfId="3118"/>
    <cellStyle name="Normal 15 6 2 2" xfId="3119"/>
    <cellStyle name="Normal 15 6 3" xfId="3120"/>
    <cellStyle name="Normal 15 7" xfId="1113"/>
    <cellStyle name="Normal 15 7 2" xfId="3121"/>
    <cellStyle name="Normal 15 7 2 2" xfId="3122"/>
    <cellStyle name="Normal 15 7 3" xfId="3123"/>
    <cellStyle name="Normal 15 8" xfId="3124"/>
    <cellStyle name="Normal 15 8 2" xfId="3125"/>
    <cellStyle name="Normal 15 8 2 2" xfId="3126"/>
    <cellStyle name="Normal 15 8 3" xfId="3127"/>
    <cellStyle name="Normal 15 9" xfId="3128"/>
    <cellStyle name="Normal 15 9 2" xfId="3129"/>
    <cellStyle name="Normal 16" xfId="106"/>
    <cellStyle name="Normal 16 2" xfId="155"/>
    <cellStyle name="Normal 16 2 2" xfId="870"/>
    <cellStyle name="Normal 16 2 2 2" xfId="3130"/>
    <cellStyle name="Normal 16 2 2 2 2" xfId="3131"/>
    <cellStyle name="Normal 16 2 2 3" xfId="3132"/>
    <cellStyle name="Normal 16 2 3" xfId="1114"/>
    <cellStyle name="Normal 16 2 3 2" xfId="3133"/>
    <cellStyle name="Normal 16 2 3 2 2" xfId="3134"/>
    <cellStyle name="Normal 16 2 3 3" xfId="3135"/>
    <cellStyle name="Normal 16 2 4" xfId="3136"/>
    <cellStyle name="Normal 16 2 4 2" xfId="3137"/>
    <cellStyle name="Normal 16 2 4 2 2" xfId="3138"/>
    <cellStyle name="Normal 16 2 4 3" xfId="3139"/>
    <cellStyle name="Normal 16 2 5" xfId="3140"/>
    <cellStyle name="Normal 16 2 5 2" xfId="3141"/>
    <cellStyle name="Normal 16 2 6" xfId="3142"/>
    <cellStyle name="Normal 16 3" xfId="162"/>
    <cellStyle name="Normal 16 3 2" xfId="877"/>
    <cellStyle name="Normal 16 3 2 2" xfId="3143"/>
    <cellStyle name="Normal 16 3 2 2 2" xfId="3144"/>
    <cellStyle name="Normal 16 3 2 3" xfId="3145"/>
    <cellStyle name="Normal 16 3 3" xfId="1115"/>
    <cellStyle name="Normal 16 3 3 2" xfId="3146"/>
    <cellStyle name="Normal 16 3 4" xfId="1116"/>
    <cellStyle name="Normal 16 4" xfId="143"/>
    <cellStyle name="Normal 16 4 2" xfId="859"/>
    <cellStyle name="Normal 16 4 2 2" xfId="3147"/>
    <cellStyle name="Normal 16 4 2 2 2" xfId="3148"/>
    <cellStyle name="Normal 16 4 2 3" xfId="3149"/>
    <cellStyle name="Normal 16 4 3" xfId="1117"/>
    <cellStyle name="Normal 16 4 3 2" xfId="3150"/>
    <cellStyle name="Normal 16 4 4" xfId="1118"/>
    <cellStyle name="Normal 16 5" xfId="197"/>
    <cellStyle name="Normal 16 5 2" xfId="907"/>
    <cellStyle name="Normal 16 5 2 2" xfId="3151"/>
    <cellStyle name="Normal 16 5 2 2 2" xfId="3152"/>
    <cellStyle name="Normal 16 5 2 3" xfId="3153"/>
    <cellStyle name="Normal 16 5 3" xfId="1119"/>
    <cellStyle name="Normal 16 5 3 2" xfId="3154"/>
    <cellStyle name="Normal 16 5 4" xfId="1120"/>
    <cellStyle name="Normal 16 6" xfId="829"/>
    <cellStyle name="Normal 16 6 2" xfId="3155"/>
    <cellStyle name="Normal 16 6 2 2" xfId="3156"/>
    <cellStyle name="Normal 16 6 3" xfId="3157"/>
    <cellStyle name="Normal 16 7" xfId="1121"/>
    <cellStyle name="Normal 16 7 2" xfId="3158"/>
    <cellStyle name="Normal 16 7 2 2" xfId="3159"/>
    <cellStyle name="Normal 16 7 3" xfId="3160"/>
    <cellStyle name="Normal 17" xfId="50"/>
    <cellStyle name="Normal 17 10" xfId="3161"/>
    <cellStyle name="Normal 17 2" xfId="156"/>
    <cellStyle name="Normal 17 2 2" xfId="871"/>
    <cellStyle name="Normal 17 2 2 2" xfId="3162"/>
    <cellStyle name="Normal 17 2 2 2 2" xfId="3163"/>
    <cellStyle name="Normal 17 2 2 3" xfId="3164"/>
    <cellStyle name="Normal 17 2 3" xfId="1122"/>
    <cellStyle name="Normal 17 2 3 2" xfId="3165"/>
    <cellStyle name="Normal 17 2 4" xfId="3166"/>
    <cellStyle name="Normal 17 3" xfId="161"/>
    <cellStyle name="Normal 17 3 2" xfId="876"/>
    <cellStyle name="Normal 17 3 2 2" xfId="3167"/>
    <cellStyle name="Normal 17 3 2 2 2" xfId="3168"/>
    <cellStyle name="Normal 17 3 2 3" xfId="3169"/>
    <cellStyle name="Normal 17 3 3" xfId="1123"/>
    <cellStyle name="Normal 17 3 3 2" xfId="3170"/>
    <cellStyle name="Normal 17 3 4" xfId="1124"/>
    <cellStyle name="Normal 17 4" xfId="144"/>
    <cellStyle name="Normal 17 4 2" xfId="860"/>
    <cellStyle name="Normal 17 4 2 2" xfId="3171"/>
    <cellStyle name="Normal 17 4 2 2 2" xfId="3172"/>
    <cellStyle name="Normal 17 4 2 3" xfId="3173"/>
    <cellStyle name="Normal 17 4 3" xfId="1125"/>
    <cellStyle name="Normal 17 4 3 2" xfId="3174"/>
    <cellStyle name="Normal 17 4 4" xfId="1126"/>
    <cellStyle name="Normal 17 5" xfId="196"/>
    <cellStyle name="Normal 17 5 2" xfId="906"/>
    <cellStyle name="Normal 17 5 2 2" xfId="3175"/>
    <cellStyle name="Normal 17 5 2 2 2" xfId="3176"/>
    <cellStyle name="Normal 17 5 2 3" xfId="3177"/>
    <cellStyle name="Normal 17 5 3" xfId="1127"/>
    <cellStyle name="Normal 17 5 3 2" xfId="3178"/>
    <cellStyle name="Normal 17 5 4" xfId="1128"/>
    <cellStyle name="Normal 17 6" xfId="817"/>
    <cellStyle name="Normal 17 6 2" xfId="3179"/>
    <cellStyle name="Normal 17 6 2 2" xfId="3180"/>
    <cellStyle name="Normal 17 6 3" xfId="3181"/>
    <cellStyle name="Normal 17 7" xfId="1129"/>
    <cellStyle name="Normal 17 7 2" xfId="3182"/>
    <cellStyle name="Normal 17 7 2 2" xfId="3183"/>
    <cellStyle name="Normal 17 7 3" xfId="3184"/>
    <cellStyle name="Normal 17 8" xfId="3185"/>
    <cellStyle name="Normal 17 8 2" xfId="3186"/>
    <cellStyle name="Normal 17 8 2 2" xfId="3187"/>
    <cellStyle name="Normal 17 8 3" xfId="3188"/>
    <cellStyle name="Normal 17 9" xfId="3189"/>
    <cellStyle name="Normal 17 9 2" xfId="3190"/>
    <cellStyle name="Normal 18" xfId="107"/>
    <cellStyle name="Normal 18 10" xfId="3191"/>
    <cellStyle name="Normal 18 2" xfId="157"/>
    <cellStyle name="Normal 18 2 2" xfId="872"/>
    <cellStyle name="Normal 18 2 2 2" xfId="3192"/>
    <cellStyle name="Normal 18 2 2 2 2" xfId="3193"/>
    <cellStyle name="Normal 18 2 2 3" xfId="3194"/>
    <cellStyle name="Normal 18 2 3" xfId="1130"/>
    <cellStyle name="Normal 18 2 3 2" xfId="3195"/>
    <cellStyle name="Normal 18 2 4" xfId="3196"/>
    <cellStyle name="Normal 18 3" xfId="160"/>
    <cellStyle name="Normal 18 3 2" xfId="875"/>
    <cellStyle name="Normal 18 3 2 2" xfId="3197"/>
    <cellStyle name="Normal 18 3 2 2 2" xfId="3198"/>
    <cellStyle name="Normal 18 3 2 3" xfId="3199"/>
    <cellStyle name="Normal 18 3 3" xfId="1131"/>
    <cellStyle name="Normal 18 3 3 2" xfId="3200"/>
    <cellStyle name="Normal 18 3 4" xfId="1132"/>
    <cellStyle name="Normal 18 4" xfId="145"/>
    <cellStyle name="Normal 18 4 2" xfId="861"/>
    <cellStyle name="Normal 18 4 2 2" xfId="3201"/>
    <cellStyle name="Normal 18 4 2 2 2" xfId="3202"/>
    <cellStyle name="Normal 18 4 2 3" xfId="3203"/>
    <cellStyle name="Normal 18 4 3" xfId="1133"/>
    <cellStyle name="Normal 18 4 3 2" xfId="3204"/>
    <cellStyle name="Normal 18 4 4" xfId="1134"/>
    <cellStyle name="Normal 18 5" xfId="195"/>
    <cellStyle name="Normal 18 5 2" xfId="905"/>
    <cellStyle name="Normal 18 5 2 2" xfId="3205"/>
    <cellStyle name="Normal 18 5 2 2 2" xfId="3206"/>
    <cellStyle name="Normal 18 5 2 3" xfId="3207"/>
    <cellStyle name="Normal 18 5 3" xfId="1135"/>
    <cellStyle name="Normal 18 5 3 2" xfId="3208"/>
    <cellStyle name="Normal 18 5 4" xfId="1136"/>
    <cellStyle name="Normal 18 6" xfId="830"/>
    <cellStyle name="Normal 18 6 2" xfId="3209"/>
    <cellStyle name="Normal 18 6 2 2" xfId="3210"/>
    <cellStyle name="Normal 18 6 3" xfId="3211"/>
    <cellStyle name="Normal 18 7" xfId="1137"/>
    <cellStyle name="Normal 18 7 2" xfId="3212"/>
    <cellStyle name="Normal 18 7 2 2" xfId="3213"/>
    <cellStyle name="Normal 18 7 3" xfId="3214"/>
    <cellStyle name="Normal 18 8" xfId="3215"/>
    <cellStyle name="Normal 18 8 2" xfId="3216"/>
    <cellStyle name="Normal 18 8 2 2" xfId="3217"/>
    <cellStyle name="Normal 18 8 3" xfId="3218"/>
    <cellStyle name="Normal 18 9" xfId="3219"/>
    <cellStyle name="Normal 18 9 2" xfId="3220"/>
    <cellStyle name="Normal 19" xfId="95"/>
    <cellStyle name="Normal 19 10" xfId="3221"/>
    <cellStyle name="Normal 19 2" xfId="158"/>
    <cellStyle name="Normal 19 2 2" xfId="873"/>
    <cellStyle name="Normal 19 2 2 2" xfId="3222"/>
    <cellStyle name="Normal 19 2 2 2 2" xfId="3223"/>
    <cellStyle name="Normal 19 2 2 3" xfId="3224"/>
    <cellStyle name="Normal 19 2 3" xfId="1138"/>
    <cellStyle name="Normal 19 2 3 2" xfId="3225"/>
    <cellStyle name="Normal 19 2 4" xfId="3226"/>
    <cellStyle name="Normal 19 3" xfId="159"/>
    <cellStyle name="Normal 19 3 2" xfId="874"/>
    <cellStyle name="Normal 19 3 2 2" xfId="3227"/>
    <cellStyle name="Normal 19 3 2 2 2" xfId="3228"/>
    <cellStyle name="Normal 19 3 2 3" xfId="3229"/>
    <cellStyle name="Normal 19 3 3" xfId="1139"/>
    <cellStyle name="Normal 19 3 3 2" xfId="3230"/>
    <cellStyle name="Normal 19 3 4" xfId="1140"/>
    <cellStyle name="Normal 19 4" xfId="146"/>
    <cellStyle name="Normal 19 4 2" xfId="862"/>
    <cellStyle name="Normal 19 4 2 2" xfId="3231"/>
    <cellStyle name="Normal 19 4 2 2 2" xfId="3232"/>
    <cellStyle name="Normal 19 4 2 3" xfId="3233"/>
    <cellStyle name="Normal 19 4 3" xfId="1141"/>
    <cellStyle name="Normal 19 4 3 2" xfId="3234"/>
    <cellStyle name="Normal 19 4 4" xfId="1142"/>
    <cellStyle name="Normal 19 5" xfId="194"/>
    <cellStyle name="Normal 19 5 2" xfId="904"/>
    <cellStyle name="Normal 19 5 2 2" xfId="3235"/>
    <cellStyle name="Normal 19 5 2 2 2" xfId="3236"/>
    <cellStyle name="Normal 19 5 2 3" xfId="3237"/>
    <cellStyle name="Normal 19 5 3" xfId="1143"/>
    <cellStyle name="Normal 19 5 3 2" xfId="3238"/>
    <cellStyle name="Normal 19 5 4" xfId="1144"/>
    <cellStyle name="Normal 19 6" xfId="818"/>
    <cellStyle name="Normal 19 6 2" xfId="3239"/>
    <cellStyle name="Normal 19 6 2 2" xfId="3240"/>
    <cellStyle name="Normal 19 6 3" xfId="3241"/>
    <cellStyle name="Normal 19 7" xfId="1145"/>
    <cellStyle name="Normal 19 7 2" xfId="3242"/>
    <cellStyle name="Normal 19 7 2 2" xfId="3243"/>
    <cellStyle name="Normal 19 7 3" xfId="3244"/>
    <cellStyle name="Normal 19 8" xfId="3245"/>
    <cellStyle name="Normal 19 8 2" xfId="3246"/>
    <cellStyle name="Normal 19 8 2 2" xfId="3247"/>
    <cellStyle name="Normal 19 8 3" xfId="3248"/>
    <cellStyle name="Normal 19 9" xfId="3249"/>
    <cellStyle name="Normal 19 9 2" xfId="3250"/>
    <cellStyle name="Normal 2" xfId="51"/>
    <cellStyle name="Normal 2 10" xfId="52"/>
    <cellStyle name="Normal 2 10 2" xfId="461"/>
    <cellStyle name="Normal 2 10 3" xfId="1146"/>
    <cellStyle name="Normal 2 10 4" xfId="1147"/>
    <cellStyle name="Normal 2 11" xfId="53"/>
    <cellStyle name="Normal 2 11 2" xfId="1148"/>
    <cellStyle name="Normal 2 11 3" xfId="1149"/>
    <cellStyle name="Normal 2 11 4" xfId="1150"/>
    <cellStyle name="Normal 2 12" xfId="54"/>
    <cellStyle name="Normal 2 12 2" xfId="1151"/>
    <cellStyle name="Normal 2 12 3" xfId="1152"/>
    <cellStyle name="Normal 2 12 4" xfId="1153"/>
    <cellStyle name="Normal 2 13" xfId="55"/>
    <cellStyle name="Normal 2 13 2" xfId="1154"/>
    <cellStyle name="Normal 2 13 3" xfId="1155"/>
    <cellStyle name="Normal 2 13 4" xfId="1156"/>
    <cellStyle name="Normal 2 14" xfId="56"/>
    <cellStyle name="Normal 2 14 2" xfId="1157"/>
    <cellStyle name="Normal 2 14 3" xfId="1158"/>
    <cellStyle name="Normal 2 14 4" xfId="1159"/>
    <cellStyle name="Normal 2 15" xfId="57"/>
    <cellStyle name="Normal 2 15 2" xfId="1160"/>
    <cellStyle name="Normal 2 15 3" xfId="1161"/>
    <cellStyle name="Normal 2 15 4" xfId="1162"/>
    <cellStyle name="Normal 2 16" xfId="58"/>
    <cellStyle name="Normal 2 16 2" xfId="1163"/>
    <cellStyle name="Normal 2 16 3" xfId="1164"/>
    <cellStyle name="Normal 2 16 4" xfId="1165"/>
    <cellStyle name="Normal 2 17" xfId="59"/>
    <cellStyle name="Normal 2 17 2" xfId="1166"/>
    <cellStyle name="Normal 2 17 3" xfId="1167"/>
    <cellStyle name="Normal 2 17 4" xfId="1168"/>
    <cellStyle name="Normal 2 18" xfId="60"/>
    <cellStyle name="Normal 2 18 2" xfId="1169"/>
    <cellStyle name="Normal 2 18 3" xfId="1170"/>
    <cellStyle name="Normal 2 18 4" xfId="1171"/>
    <cellStyle name="Normal 2 19" xfId="61"/>
    <cellStyle name="Normal 2 19 2" xfId="1172"/>
    <cellStyle name="Normal 2 19 3" xfId="1173"/>
    <cellStyle name="Normal 2 19 4" xfId="1174"/>
    <cellStyle name="Normal 2 2" xfId="62"/>
    <cellStyle name="Normal 2 2 2" xfId="108"/>
    <cellStyle name="Normal 2 2 2 2" xfId="269"/>
    <cellStyle name="Normal 2 2 2 3" xfId="1175"/>
    <cellStyle name="Normal 2 2 2 4" xfId="1176"/>
    <cellStyle name="Normal 2 2 3" xfId="233"/>
    <cellStyle name="Normal 2 2 3 2" xfId="462"/>
    <cellStyle name="Normal 2 2 3 2 2" xfId="463"/>
    <cellStyle name="Normal 2 2 3 2 2 2" xfId="464"/>
    <cellStyle name="Normal 2 2 3 2 2 3" xfId="465"/>
    <cellStyle name="Normal 2 2 3 2 2 4" xfId="466"/>
    <cellStyle name="Normal 2 2 3 2 3" xfId="467"/>
    <cellStyle name="Normal 2 2 3 2 3 2" xfId="468"/>
    <cellStyle name="Normal 2 2 3 2 3 3" xfId="469"/>
    <cellStyle name="Normal 2 2 3 2 3 4" xfId="470"/>
    <cellStyle name="Normal 2 2 3 2 4" xfId="471"/>
    <cellStyle name="Normal 2 2 3 2 5" xfId="472"/>
    <cellStyle name="Normal 2 2 3 2 6" xfId="473"/>
    <cellStyle name="Normal 2 2 3 2 7" xfId="474"/>
    <cellStyle name="Normal 2 2 3 3" xfId="1177"/>
    <cellStyle name="Normal 2 2 4" xfId="266"/>
    <cellStyle name="Normal 2 2 4 2" xfId="1178"/>
    <cellStyle name="Normal 2 2 5" xfId="1179"/>
    <cellStyle name="Normal 2 20" xfId="63"/>
    <cellStyle name="Normal 2 20 2" xfId="1180"/>
    <cellStyle name="Normal 2 20 3" xfId="1181"/>
    <cellStyle name="Normal 2 20 4" xfId="1182"/>
    <cellStyle name="Normal 2 21" xfId="64"/>
    <cellStyle name="Normal 2 21 2" xfId="1183"/>
    <cellStyle name="Normal 2 21 3" xfId="1184"/>
    <cellStyle name="Normal 2 21 4" xfId="1185"/>
    <cellStyle name="Normal 2 22" xfId="65"/>
    <cellStyle name="Normal 2 22 2" xfId="1186"/>
    <cellStyle name="Normal 2 22 3" xfId="1187"/>
    <cellStyle name="Normal 2 22 4" xfId="1188"/>
    <cellStyle name="Normal 2 23" xfId="66"/>
    <cellStyle name="Normal 2 23 2" xfId="1189"/>
    <cellStyle name="Normal 2 23 3" xfId="1190"/>
    <cellStyle name="Normal 2 23 4" xfId="1191"/>
    <cellStyle name="Normal 2 24" xfId="67"/>
    <cellStyle name="Normal 2 24 2" xfId="1192"/>
    <cellStyle name="Normal 2 24 3" xfId="1193"/>
    <cellStyle name="Normal 2 24 4" xfId="1194"/>
    <cellStyle name="Normal 2 25" xfId="68"/>
    <cellStyle name="Normal 2 25 2" xfId="1195"/>
    <cellStyle name="Normal 2 25 3" xfId="1196"/>
    <cellStyle name="Normal 2 25 4" xfId="1197"/>
    <cellStyle name="Normal 2 26" xfId="69"/>
    <cellStyle name="Normal 2 26 2" xfId="1198"/>
    <cellStyle name="Normal 2 26 2 2" xfId="1199"/>
    <cellStyle name="Normal 2 26 2 2 2" xfId="1200"/>
    <cellStyle name="Normal 2 26 2 2 2 2" xfId="1201"/>
    <cellStyle name="Normal 2 26 2 2 2 2 2" xfId="1202"/>
    <cellStyle name="Normal 2 26 2 2 2 2 2 2" xfId="1203"/>
    <cellStyle name="Normal 2 26 2 2 2 2 3" xfId="1204"/>
    <cellStyle name="Normal 2 26 2 2 2 3" xfId="1205"/>
    <cellStyle name="Normal 2 26 2 2 3" xfId="1206"/>
    <cellStyle name="Normal 2 26 2 3" xfId="1207"/>
    <cellStyle name="Normal 2 26 3" xfId="1208"/>
    <cellStyle name="Normal 2 26 4" xfId="1209"/>
    <cellStyle name="Normal 2 26 5" xfId="1210"/>
    <cellStyle name="Normal 2 27" xfId="70"/>
    <cellStyle name="Normal 2 27 2" xfId="1211"/>
    <cellStyle name="Normal 2 27 2 2" xfId="1212"/>
    <cellStyle name="Normal 2 27 2 2 2" xfId="1213"/>
    <cellStyle name="Normal 2 27 2 2 2 2" xfId="1214"/>
    <cellStyle name="Normal 2 27 2 2 2 2 2" xfId="1215"/>
    <cellStyle name="Normal 2 27 2 2 2 3" xfId="1216"/>
    <cellStyle name="Normal 2 27 2 2 3" xfId="1217"/>
    <cellStyle name="Normal 2 27 2 3" xfId="1218"/>
    <cellStyle name="Normal 2 27 2 3 2" xfId="1219"/>
    <cellStyle name="Normal 2 27 2 3 3" xfId="1220"/>
    <cellStyle name="Normal 2 27 2 4" xfId="1221"/>
    <cellStyle name="Normal 2 27 3" xfId="1222"/>
    <cellStyle name="Normal 2 27 3 2" xfId="1223"/>
    <cellStyle name="Normal 2 27 3 2 2" xfId="1224"/>
    <cellStyle name="Normal 2 27 3 3" xfId="1225"/>
    <cellStyle name="Normal 2 27 4" xfId="1226"/>
    <cellStyle name="Normal 2 27 5" xfId="1227"/>
    <cellStyle name="Normal 2 27 6" xfId="1228"/>
    <cellStyle name="Normal 2 28" xfId="71"/>
    <cellStyle name="Normal 2 28 2" xfId="1229"/>
    <cellStyle name="Normal 2 28 3" xfId="1230"/>
    <cellStyle name="Normal 2 29" xfId="72"/>
    <cellStyle name="Normal 2 29 2" xfId="1231"/>
    <cellStyle name="Normal 2 29 3" xfId="1232"/>
    <cellStyle name="Normal 2 3" xfId="73"/>
    <cellStyle name="Normal 2 3 2" xfId="232"/>
    <cellStyle name="Normal 2 3 2 2" xfId="1233"/>
    <cellStyle name="Normal 2 3 2 3" xfId="1234"/>
    <cellStyle name="Normal 2 3 3" xfId="1235"/>
    <cellStyle name="Normal 2 3 4" xfId="1236"/>
    <cellStyle name="Normal 2 3 5" xfId="1237"/>
    <cellStyle name="Normal 2 30" xfId="74"/>
    <cellStyle name="Normal 2 30 2" xfId="1238"/>
    <cellStyle name="Normal 2 30 3" xfId="1239"/>
    <cellStyle name="Normal 2 31" xfId="75"/>
    <cellStyle name="Normal 2 31 2" xfId="1240"/>
    <cellStyle name="Normal 2 31 3" xfId="1241"/>
    <cellStyle name="Normal 2 32" xfId="76"/>
    <cellStyle name="Normal 2 32 2" xfId="1242"/>
    <cellStyle name="Normal 2 32 3" xfId="1243"/>
    <cellStyle name="Normal 2 33" xfId="119"/>
    <cellStyle name="Normal 2 33 2" xfId="475"/>
    <cellStyle name="Normal 2 33 2 2" xfId="1002"/>
    <cellStyle name="Normal 2 33 2 2 2" xfId="3251"/>
    <cellStyle name="Normal 2 33 2 2 2 2" xfId="3252"/>
    <cellStyle name="Normal 2 33 2 2 2 2 2" xfId="3253"/>
    <cellStyle name="Normal 2 33 2 2 2 3" xfId="3254"/>
    <cellStyle name="Normal 2 33 2 2 3" xfId="3255"/>
    <cellStyle name="Normal 2 33 2 2 3 2" xfId="3256"/>
    <cellStyle name="Normal 2 33 2 2 3 2 2" xfId="3257"/>
    <cellStyle name="Normal 2 33 2 2 3 3" xfId="3258"/>
    <cellStyle name="Normal 2 33 2 2 4" xfId="3259"/>
    <cellStyle name="Normal 2 33 2 2 4 2" xfId="3260"/>
    <cellStyle name="Normal 2 33 2 2 5" xfId="3261"/>
    <cellStyle name="Normal 2 33 2 3" xfId="3262"/>
    <cellStyle name="Normal 2 33 2 3 2" xfId="3263"/>
    <cellStyle name="Normal 2 33 2 3 2 2" xfId="3264"/>
    <cellStyle name="Normal 2 33 2 3 3" xfId="3265"/>
    <cellStyle name="Normal 2 33 2 4" xfId="3266"/>
    <cellStyle name="Normal 2 33 2 4 2" xfId="3267"/>
    <cellStyle name="Normal 2 33 2 4 2 2" xfId="3268"/>
    <cellStyle name="Normal 2 33 2 4 3" xfId="3269"/>
    <cellStyle name="Normal 2 33 2 5" xfId="3270"/>
    <cellStyle name="Normal 2 33 2 5 2" xfId="3271"/>
    <cellStyle name="Normal 2 33 2 6" xfId="3272"/>
    <cellStyle name="Normal 2 33 3" xfId="1244"/>
    <cellStyle name="Normal 2 33 3 2" xfId="3273"/>
    <cellStyle name="Normal 2 33 3 2 2" xfId="3274"/>
    <cellStyle name="Normal 2 33 3 2 2 2" xfId="3275"/>
    <cellStyle name="Normal 2 33 3 2 3" xfId="3276"/>
    <cellStyle name="Normal 2 33 3 3" xfId="3277"/>
    <cellStyle name="Normal 2 33 3 3 2" xfId="3278"/>
    <cellStyle name="Normal 2 33 3 4" xfId="3279"/>
    <cellStyle name="Normal 2 33 4" xfId="3280"/>
    <cellStyle name="Normal 2 33 5" xfId="3281"/>
    <cellStyle name="Normal 2 33 5 2" xfId="3282"/>
    <cellStyle name="Normal 2 33 5 2 2" xfId="3283"/>
    <cellStyle name="Normal 2 33 5 3" xfId="3284"/>
    <cellStyle name="Normal 2 33 6" xfId="3285"/>
    <cellStyle name="Normal 2 33 6 2" xfId="3286"/>
    <cellStyle name="Normal 2 33 7" xfId="3287"/>
    <cellStyle name="Normal 2 34" xfId="122"/>
    <cellStyle name="Normal 2 34 2" xfId="1245"/>
    <cellStyle name="Normal 2 34 3" xfId="1246"/>
    <cellStyle name="Normal 2 35" xfId="124"/>
    <cellStyle name="Normal 2 35 2" xfId="476"/>
    <cellStyle name="Normal 2 35 2 2" xfId="477"/>
    <cellStyle name="Normal 2 35 2 3" xfId="478"/>
    <cellStyle name="Normal 2 35 2 4" xfId="479"/>
    <cellStyle name="Normal 2 35 2 5" xfId="3288"/>
    <cellStyle name="Normal 2 35 3" xfId="480"/>
    <cellStyle name="Normal 2 35 3 2" xfId="481"/>
    <cellStyle name="Normal 2 35 3 3" xfId="482"/>
    <cellStyle name="Normal 2 35 3 4" xfId="483"/>
    <cellStyle name="Normal 2 35 4" xfId="484"/>
    <cellStyle name="Normal 2 35 5" xfId="485"/>
    <cellStyle name="Normal 2 35 6" xfId="486"/>
    <cellStyle name="Normal 2 35 7" xfId="487"/>
    <cellStyle name="Normal 2 35 8" xfId="3289"/>
    <cellStyle name="Normal 2 36" xfId="128"/>
    <cellStyle name="Normal 2 36 2" xfId="1247"/>
    <cellStyle name="Normal 2 36 3" xfId="1248"/>
    <cellStyle name="Normal 2 37" xfId="130"/>
    <cellStyle name="Normal 2 37 2" xfId="1249"/>
    <cellStyle name="Normal 2 37 3" xfId="1250"/>
    <cellStyle name="Normal 2 38" xfId="250"/>
    <cellStyle name="Normal 2 38 2" xfId="954"/>
    <cellStyle name="Normal 2 38 2 2" xfId="3290"/>
    <cellStyle name="Normal 2 38 2 2 2" xfId="3291"/>
    <cellStyle name="Normal 2 38 2 3" xfId="3292"/>
    <cellStyle name="Normal 2 38 3" xfId="1251"/>
    <cellStyle name="Normal 2 38 3 2" xfId="3293"/>
    <cellStyle name="Normal 2 38 3 2 2" xfId="3294"/>
    <cellStyle name="Normal 2 38 3 3" xfId="3295"/>
    <cellStyle name="Normal 2 38 4" xfId="1252"/>
    <cellStyle name="Normal 2 39" xfId="1042"/>
    <cellStyle name="Normal 2 39 2" xfId="3296"/>
    <cellStyle name="Normal 2 39 2 2" xfId="3297"/>
    <cellStyle name="Normal 2 39 2 2 2" xfId="3298"/>
    <cellStyle name="Normal 2 39 2 3" xfId="3299"/>
    <cellStyle name="Normal 2 39 3" xfId="3300"/>
    <cellStyle name="Normal 2 39 3 2" xfId="3301"/>
    <cellStyle name="Normal 2 39 4" xfId="3302"/>
    <cellStyle name="Normal 2 4" xfId="77"/>
    <cellStyle name="Normal 2 4 2" xfId="185"/>
    <cellStyle name="Normal 2 4 2 2" xfId="1253"/>
    <cellStyle name="Normal 2 4 2 3" xfId="1254"/>
    <cellStyle name="Normal 2 4 3" xfId="1255"/>
    <cellStyle name="Normal 2 4 4" xfId="1256"/>
    <cellStyle name="Normal 2 4 5" xfId="1257"/>
    <cellStyle name="Normal 2 40" xfId="1258"/>
    <cellStyle name="Normal 2 41" xfId="1259"/>
    <cellStyle name="Normal 2 42" xfId="1260"/>
    <cellStyle name="Normal 2 5" xfId="78"/>
    <cellStyle name="Normal 2 5 2" xfId="1261"/>
    <cellStyle name="Normal 2 5 3" xfId="1262"/>
    <cellStyle name="Normal 2 5 4" xfId="1263"/>
    <cellStyle name="Normal 2 6" xfId="79"/>
    <cellStyle name="Normal 2 6 2" xfId="1264"/>
    <cellStyle name="Normal 2 6 3" xfId="1265"/>
    <cellStyle name="Normal 2 6 4" xfId="1266"/>
    <cellStyle name="Normal 2 7" xfId="80"/>
    <cellStyle name="Normal 2 7 2" xfId="1267"/>
    <cellStyle name="Normal 2 7 3" xfId="1268"/>
    <cellStyle name="Normal 2 7 4" xfId="1269"/>
    <cellStyle name="Normal 2 8" xfId="81"/>
    <cellStyle name="Normal 2 8 2" xfId="1270"/>
    <cellStyle name="Normal 2 8 3" xfId="1271"/>
    <cellStyle name="Normal 2 8 4" xfId="1272"/>
    <cellStyle name="Normal 2 9" xfId="82"/>
    <cellStyle name="Normal 2 9 2" xfId="1273"/>
    <cellStyle name="Normal 2 9 3" xfId="1274"/>
    <cellStyle name="Normal 2 9 4" xfId="1275"/>
    <cellStyle name="Normal 2_Book1" xfId="1276"/>
    <cellStyle name="Normal 20" xfId="109"/>
    <cellStyle name="Normal 20 10" xfId="3303"/>
    <cellStyle name="Normal 20 2" xfId="180"/>
    <cellStyle name="Normal 20 2 2" xfId="893"/>
    <cellStyle name="Normal 20 2 2 2" xfId="3304"/>
    <cellStyle name="Normal 20 2 2 2 2" xfId="3305"/>
    <cellStyle name="Normal 20 2 2 3" xfId="3306"/>
    <cellStyle name="Normal 20 2 3" xfId="1277"/>
    <cellStyle name="Normal 20 2 3 2" xfId="3307"/>
    <cellStyle name="Normal 20 2 4" xfId="1278"/>
    <cellStyle name="Normal 20 3" xfId="134"/>
    <cellStyle name="Normal 20 3 2" xfId="851"/>
    <cellStyle name="Normal 20 3 2 2" xfId="3308"/>
    <cellStyle name="Normal 20 3 2 2 2" xfId="3309"/>
    <cellStyle name="Normal 20 3 2 3" xfId="3310"/>
    <cellStyle name="Normal 20 3 3" xfId="1279"/>
    <cellStyle name="Normal 20 3 3 2" xfId="3311"/>
    <cellStyle name="Normal 20 3 4" xfId="1280"/>
    <cellStyle name="Normal 20 4" xfId="199"/>
    <cellStyle name="Normal 20 4 2" xfId="909"/>
    <cellStyle name="Normal 20 4 2 2" xfId="3312"/>
    <cellStyle name="Normal 20 4 2 2 2" xfId="3313"/>
    <cellStyle name="Normal 20 4 2 3" xfId="3314"/>
    <cellStyle name="Normal 20 4 3" xfId="1281"/>
    <cellStyle name="Normal 20 4 3 2" xfId="3315"/>
    <cellStyle name="Normal 20 4 4" xfId="1282"/>
    <cellStyle name="Normal 20 5" xfId="188"/>
    <cellStyle name="Normal 20 5 2" xfId="899"/>
    <cellStyle name="Normal 20 5 2 2" xfId="3316"/>
    <cellStyle name="Normal 20 5 2 2 2" xfId="3317"/>
    <cellStyle name="Normal 20 5 2 3" xfId="3318"/>
    <cellStyle name="Normal 20 5 3" xfId="1283"/>
    <cellStyle name="Normal 20 5 3 2" xfId="3319"/>
    <cellStyle name="Normal 20 5 4" xfId="1284"/>
    <cellStyle name="Normal 20 6" xfId="831"/>
    <cellStyle name="Normal 20 6 2" xfId="3320"/>
    <cellStyle name="Normal 20 6 2 2" xfId="3321"/>
    <cellStyle name="Normal 20 6 3" xfId="3322"/>
    <cellStyle name="Normal 20 7" xfId="1285"/>
    <cellStyle name="Normal 20 7 2" xfId="3323"/>
    <cellStyle name="Normal 20 7 2 2" xfId="3324"/>
    <cellStyle name="Normal 20 7 3" xfId="3325"/>
    <cellStyle name="Normal 20 8" xfId="1286"/>
    <cellStyle name="Normal 20 8 2" xfId="3326"/>
    <cellStyle name="Normal 20 8 2 2" xfId="3327"/>
    <cellStyle name="Normal 20 8 3" xfId="3328"/>
    <cellStyle name="Normal 20 9" xfId="3329"/>
    <cellStyle name="Normal 20 9 2" xfId="3330"/>
    <cellStyle name="Normal 21" xfId="110"/>
    <cellStyle name="Normal 21 10" xfId="3331"/>
    <cellStyle name="Normal 21 2" xfId="181"/>
    <cellStyle name="Normal 21 2 2" xfId="894"/>
    <cellStyle name="Normal 21 2 2 2" xfId="3332"/>
    <cellStyle name="Normal 21 2 2 2 2" xfId="3333"/>
    <cellStyle name="Normal 21 2 2 3" xfId="3334"/>
    <cellStyle name="Normal 21 2 3" xfId="1287"/>
    <cellStyle name="Normal 21 2 3 2" xfId="3335"/>
    <cellStyle name="Normal 21 2 4" xfId="3336"/>
    <cellStyle name="Normal 21 3" xfId="133"/>
    <cellStyle name="Normal 21 3 2" xfId="850"/>
    <cellStyle name="Normal 21 3 2 2" xfId="3337"/>
    <cellStyle name="Normal 21 3 2 2 2" xfId="3338"/>
    <cellStyle name="Normal 21 3 2 3" xfId="3339"/>
    <cellStyle name="Normal 21 3 3" xfId="1288"/>
    <cellStyle name="Normal 21 3 3 2" xfId="3340"/>
    <cellStyle name="Normal 21 3 4" xfId="1289"/>
    <cellStyle name="Normal 21 4" xfId="201"/>
    <cellStyle name="Normal 21 4 2" xfId="911"/>
    <cellStyle name="Normal 21 4 2 2" xfId="3341"/>
    <cellStyle name="Normal 21 4 2 2 2" xfId="3342"/>
    <cellStyle name="Normal 21 4 2 3" xfId="3343"/>
    <cellStyle name="Normal 21 4 3" xfId="1290"/>
    <cellStyle name="Normal 21 4 3 2" xfId="3344"/>
    <cellStyle name="Normal 21 4 4" xfId="1291"/>
    <cellStyle name="Normal 21 5" xfId="186"/>
    <cellStyle name="Normal 21 5 2" xfId="897"/>
    <cellStyle name="Normal 21 5 2 2" xfId="3345"/>
    <cellStyle name="Normal 21 5 2 2 2" xfId="3346"/>
    <cellStyle name="Normal 21 5 2 3" xfId="3347"/>
    <cellStyle name="Normal 21 5 3" xfId="1292"/>
    <cellStyle name="Normal 21 5 3 2" xfId="3348"/>
    <cellStyle name="Normal 21 5 4" xfId="1293"/>
    <cellStyle name="Normal 21 6" xfId="832"/>
    <cellStyle name="Normal 21 6 2" xfId="3349"/>
    <cellStyle name="Normal 21 6 2 2" xfId="3350"/>
    <cellStyle name="Normal 21 6 3" xfId="3351"/>
    <cellStyle name="Normal 21 7" xfId="1294"/>
    <cellStyle name="Normal 21 7 2" xfId="3352"/>
    <cellStyle name="Normal 21 7 2 2" xfId="3353"/>
    <cellStyle name="Normal 21 7 3" xfId="3354"/>
    <cellStyle name="Normal 21 8" xfId="3355"/>
    <cellStyle name="Normal 21 8 2" xfId="3356"/>
    <cellStyle name="Normal 21 8 2 2" xfId="3357"/>
    <cellStyle name="Normal 21 8 3" xfId="3358"/>
    <cellStyle name="Normal 21 9" xfId="3359"/>
    <cellStyle name="Normal 21 9 2" xfId="3360"/>
    <cellStyle name="Normal 22" xfId="111"/>
    <cellStyle name="Normal 22 2" xfId="182"/>
    <cellStyle name="Normal 22 2 2" xfId="488"/>
    <cellStyle name="Normal 22 2 2 2" xfId="1003"/>
    <cellStyle name="Normal 22 2 2 2 2" xfId="3361"/>
    <cellStyle name="Normal 22 2 2 2 2 2" xfId="3362"/>
    <cellStyle name="Normal 22 2 2 2 3" xfId="3363"/>
    <cellStyle name="Normal 22 2 2 3" xfId="3364"/>
    <cellStyle name="Normal 22 2 2 3 2" xfId="3365"/>
    <cellStyle name="Normal 22 2 2 4" xfId="3366"/>
    <cellStyle name="Normal 22 2 3" xfId="895"/>
    <cellStyle name="Normal 22 2 3 2" xfId="3367"/>
    <cellStyle name="Normal 22 2 3 2 2" xfId="3368"/>
    <cellStyle name="Normal 22 2 3 3" xfId="3369"/>
    <cellStyle name="Normal 22 2 4" xfId="3370"/>
    <cellStyle name="Normal 22 2 4 2" xfId="3371"/>
    <cellStyle name="Normal 22 2 5" xfId="3372"/>
    <cellStyle name="Normal 22 3" xfId="132"/>
    <cellStyle name="Normal 22 3 2" xfId="849"/>
    <cellStyle name="Normal 22 3 2 2" xfId="3373"/>
    <cellStyle name="Normal 22 3 2 2 2" xfId="3374"/>
    <cellStyle name="Normal 22 3 2 3" xfId="3375"/>
    <cellStyle name="Normal 22 3 3" xfId="1295"/>
    <cellStyle name="Normal 22 3 3 2" xfId="3376"/>
    <cellStyle name="Normal 22 3 4" xfId="1296"/>
    <cellStyle name="Normal 22 4" xfId="204"/>
    <cellStyle name="Normal 22 4 2" xfId="914"/>
    <cellStyle name="Normal 22 4 2 2" xfId="3377"/>
    <cellStyle name="Normal 22 4 2 2 2" xfId="3378"/>
    <cellStyle name="Normal 22 4 2 3" xfId="3379"/>
    <cellStyle name="Normal 22 4 3" xfId="1297"/>
    <cellStyle name="Normal 22 4 3 2" xfId="3380"/>
    <cellStyle name="Normal 22 4 4" xfId="1298"/>
    <cellStyle name="Normal 22 5" xfId="178"/>
    <cellStyle name="Normal 22 5 2" xfId="891"/>
    <cellStyle name="Normal 22 5 2 2" xfId="3381"/>
    <cellStyle name="Normal 22 5 2 2 2" xfId="3382"/>
    <cellStyle name="Normal 22 5 2 3" xfId="3383"/>
    <cellStyle name="Normal 22 5 3" xfId="1299"/>
    <cellStyle name="Normal 22 5 3 2" xfId="3384"/>
    <cellStyle name="Normal 22 5 4" xfId="1300"/>
    <cellStyle name="Normal 22 6" xfId="833"/>
    <cellStyle name="Normal 22 6 2" xfId="3385"/>
    <cellStyle name="Normal 22 6 2 2" xfId="3386"/>
    <cellStyle name="Normal 22 6 3" xfId="3387"/>
    <cellStyle name="Normal 22 7" xfId="1301"/>
    <cellStyle name="Normal 22 7 2" xfId="3388"/>
    <cellStyle name="Normal 22 7 2 2" xfId="3389"/>
    <cellStyle name="Normal 22 7 3" xfId="3390"/>
    <cellStyle name="Normal 22 8" xfId="3391"/>
    <cellStyle name="Normal 22 8 2" xfId="3392"/>
    <cellStyle name="Normal 22 9" xfId="3393"/>
    <cellStyle name="Normal 23" xfId="112"/>
    <cellStyle name="Normal 23 2" xfId="183"/>
    <cellStyle name="Normal 23 2 2" xfId="489"/>
    <cellStyle name="Normal 23 2 2 2" xfId="1004"/>
    <cellStyle name="Normal 23 2 2 2 2" xfId="3394"/>
    <cellStyle name="Normal 23 2 2 2 2 2" xfId="3395"/>
    <cellStyle name="Normal 23 2 2 2 3" xfId="3396"/>
    <cellStyle name="Normal 23 2 2 3" xfId="3397"/>
    <cellStyle name="Normal 23 2 2 3 2" xfId="3398"/>
    <cellStyle name="Normal 23 2 2 4" xfId="3399"/>
    <cellStyle name="Normal 23 2 3" xfId="896"/>
    <cellStyle name="Normal 23 2 3 2" xfId="3400"/>
    <cellStyle name="Normal 23 2 3 2 2" xfId="3401"/>
    <cellStyle name="Normal 23 2 3 3" xfId="3402"/>
    <cellStyle name="Normal 23 2 4" xfId="3403"/>
    <cellStyle name="Normal 23 2 4 2" xfId="3404"/>
    <cellStyle name="Normal 23 2 5" xfId="3405"/>
    <cellStyle name="Normal 23 3" xfId="131"/>
    <cellStyle name="Normal 23 3 2" xfId="848"/>
    <cellStyle name="Normal 23 3 2 2" xfId="3406"/>
    <cellStyle name="Normal 23 3 2 2 2" xfId="3407"/>
    <cellStyle name="Normal 23 3 2 3" xfId="3408"/>
    <cellStyle name="Normal 23 3 3" xfId="1302"/>
    <cellStyle name="Normal 23 3 3 2" xfId="3409"/>
    <cellStyle name="Normal 23 3 4" xfId="1303"/>
    <cellStyle name="Normal 23 4" xfId="206"/>
    <cellStyle name="Normal 23 4 2" xfId="916"/>
    <cellStyle name="Normal 23 4 2 2" xfId="3410"/>
    <cellStyle name="Normal 23 4 2 2 2" xfId="3411"/>
    <cellStyle name="Normal 23 4 2 3" xfId="3412"/>
    <cellStyle name="Normal 23 4 3" xfId="1304"/>
    <cellStyle name="Normal 23 4 3 2" xfId="3413"/>
    <cellStyle name="Normal 23 4 4" xfId="1305"/>
    <cellStyle name="Normal 23 5" xfId="177"/>
    <cellStyle name="Normal 23 5 2" xfId="890"/>
    <cellStyle name="Normal 23 5 2 2" xfId="3414"/>
    <cellStyle name="Normal 23 5 2 2 2" xfId="3415"/>
    <cellStyle name="Normal 23 5 2 3" xfId="3416"/>
    <cellStyle name="Normal 23 5 3" xfId="1306"/>
    <cellStyle name="Normal 23 5 3 2" xfId="3417"/>
    <cellStyle name="Normal 23 5 4" xfId="1307"/>
    <cellStyle name="Normal 23 6" xfId="834"/>
    <cellStyle name="Normal 23 6 2" xfId="3418"/>
    <cellStyle name="Normal 23 6 2 2" xfId="3419"/>
    <cellStyle name="Normal 23 6 3" xfId="3420"/>
    <cellStyle name="Normal 23 7" xfId="1308"/>
    <cellStyle name="Normal 23 7 2" xfId="3421"/>
    <cellStyle name="Normal 23 7 2 2" xfId="3422"/>
    <cellStyle name="Normal 23 7 3" xfId="3423"/>
    <cellStyle name="Normal 23 8" xfId="3424"/>
    <cellStyle name="Normal 23 8 2" xfId="3425"/>
    <cellStyle name="Normal 23 9" xfId="3426"/>
    <cellStyle name="Normal 24" xfId="253"/>
    <cellStyle name="Normal 24 2" xfId="184"/>
    <cellStyle name="Normal 24 2 2" xfId="1309"/>
    <cellStyle name="Normal 24 2 3" xfId="1310"/>
    <cellStyle name="Normal 24 3" xfId="213"/>
    <cellStyle name="Normal 24 3 2" xfId="1311"/>
    <cellStyle name="Normal 24 3 3" xfId="1312"/>
    <cellStyle name="Normal 24 4" xfId="208"/>
    <cellStyle name="Normal 24 4 2" xfId="1313"/>
    <cellStyle name="Normal 24 4 3" xfId="1314"/>
    <cellStyle name="Normal 24 5" xfId="1315"/>
    <cellStyle name="Normal 24 6" xfId="1316"/>
    <cellStyle name="Normal 24 6 2" xfId="3427"/>
    <cellStyle name="Normal 24 6 2 2" xfId="3428"/>
    <cellStyle name="Normal 24 6 3" xfId="3429"/>
    <cellStyle name="Normal 24 7" xfId="3430"/>
    <cellStyle name="Normal 24 7 2" xfId="3431"/>
    <cellStyle name="Normal 24 8" xfId="3432"/>
    <cellStyle name="Normal 25" xfId="83"/>
    <cellStyle name="Normal 25 2" xfId="1317"/>
    <cellStyle name="Normal 25 3" xfId="1318"/>
    <cellStyle name="Normal 25 4" xfId="1319"/>
    <cellStyle name="Normal 26" xfId="84"/>
    <cellStyle name="Normal 26 2" xfId="1320"/>
    <cellStyle name="Normal 26 3" xfId="1321"/>
    <cellStyle name="Normal 26 4" xfId="1322"/>
    <cellStyle name="Normal 27" xfId="118"/>
    <cellStyle name="Normal 27 2" xfId="840"/>
    <cellStyle name="Normal 27 2 2" xfId="3433"/>
    <cellStyle name="Normal 27 2 2 2" xfId="3434"/>
    <cellStyle name="Normal 27 2 3" xfId="3435"/>
    <cellStyle name="Normal 27 3" xfId="1323"/>
    <cellStyle name="Normal 27 3 2" xfId="3436"/>
    <cellStyle name="Normal 27 3 2 2" xfId="3437"/>
    <cellStyle name="Normal 27 3 3" xfId="3438"/>
    <cellStyle name="Normal 27 4" xfId="1324"/>
    <cellStyle name="Normal 28" xfId="121"/>
    <cellStyle name="Normal 28 2" xfId="842"/>
    <cellStyle name="Normal 28 2 2" xfId="3439"/>
    <cellStyle name="Normal 28 2 2 2" xfId="3440"/>
    <cellStyle name="Normal 28 2 3" xfId="3441"/>
    <cellStyle name="Normal 28 3" xfId="1325"/>
    <cellStyle name="Normal 28 3 2" xfId="3442"/>
    <cellStyle name="Normal 28 3 2 2" xfId="3443"/>
    <cellStyle name="Normal 28 3 3" xfId="3444"/>
    <cellStyle name="Normal 28 4" xfId="1326"/>
    <cellStyle name="Normal 29" xfId="85"/>
    <cellStyle name="Normal 29 2" xfId="1327"/>
    <cellStyle name="Normal 29 3" xfId="1328"/>
    <cellStyle name="Normal 29 4" xfId="1329"/>
    <cellStyle name="Normal 3" xfId="8"/>
    <cellStyle name="Normal 3 10" xfId="254"/>
    <cellStyle name="Normal 3 10 2" xfId="957"/>
    <cellStyle name="Normal 3 10 2 2" xfId="3445"/>
    <cellStyle name="Normal 3 10 2 2 2" xfId="3446"/>
    <cellStyle name="Normal 3 10 2 3" xfId="3447"/>
    <cellStyle name="Normal 3 10 3" xfId="3448"/>
    <cellStyle name="Normal 3 10 3 2" xfId="3449"/>
    <cellStyle name="Normal 3 10 4" xfId="3450"/>
    <cellStyle name="Normal 3 11" xfId="812"/>
    <cellStyle name="Normal 3 11 2" xfId="3451"/>
    <cellStyle name="Normal 3 11 2 2" xfId="3452"/>
    <cellStyle name="Normal 3 11 3" xfId="3453"/>
    <cellStyle name="Normal 3 12" xfId="3454"/>
    <cellStyle name="Normal 3 12 2" xfId="3455"/>
    <cellStyle name="Normal 3 12 2 2" xfId="3456"/>
    <cellStyle name="Normal 3 12 3" xfId="3457"/>
    <cellStyle name="Normal 3 13" xfId="3458"/>
    <cellStyle name="Normal 3 13 2" xfId="3459"/>
    <cellStyle name="Normal 3 13 2 2" xfId="3460"/>
    <cellStyle name="Normal 3 13 3" xfId="3461"/>
    <cellStyle name="Normal 3 14" xfId="3462"/>
    <cellStyle name="Normal 3 14 2" xfId="3463"/>
    <cellStyle name="Normal 3 15" xfId="3464"/>
    <cellStyle name="Normal 3 2" xfId="7"/>
    <cellStyle name="Normal 3 2 2" xfId="264"/>
    <cellStyle name="Normal 3 2 2 2" xfId="3465"/>
    <cellStyle name="Normal 3 2 2 3" xfId="3466"/>
    <cellStyle name="Normal 3 2 2 3 2" xfId="3467"/>
    <cellStyle name="Normal 3 2 2 3 2 2" xfId="3468"/>
    <cellStyle name="Normal 3 2 2 3 3" xfId="3469"/>
    <cellStyle name="Normal 3 2 2 4" xfId="3470"/>
    <cellStyle name="Normal 3 2 2 4 2" xfId="3471"/>
    <cellStyle name="Normal 3 2 2 5" xfId="3472"/>
    <cellStyle name="Normal 3 2 3" xfId="189"/>
    <cellStyle name="Normal 3 2 3 2" xfId="1330"/>
    <cellStyle name="Normal 3 2 3 3" xfId="1331"/>
    <cellStyle name="Normal 3 2 4" xfId="1332"/>
    <cellStyle name="Normal 3 2 5" xfId="1333"/>
    <cellStyle name="Normal 3 2 5 2" xfId="3473"/>
    <cellStyle name="Normal 3 2 5 2 2" xfId="3474"/>
    <cellStyle name="Normal 3 2 5 3" xfId="3475"/>
    <cellStyle name="Normal 3 2 6" xfId="3476"/>
    <cellStyle name="Normal 3 2 6 2" xfId="3477"/>
    <cellStyle name="Normal 3 2 7" xfId="3478"/>
    <cellStyle name="Normal 3 3" xfId="13"/>
    <cellStyle name="Normal 3 3 10" xfId="815"/>
    <cellStyle name="Normal 3 3 10 2" xfId="3479"/>
    <cellStyle name="Normal 3 3 10 2 2" xfId="3480"/>
    <cellStyle name="Normal 3 3 10 3" xfId="3481"/>
    <cellStyle name="Normal 3 3 11" xfId="3482"/>
    <cellStyle name="Normal 3 3 11 2" xfId="3483"/>
    <cellStyle name="Normal 3 3 11 2 2" xfId="3484"/>
    <cellStyle name="Normal 3 3 11 3" xfId="3485"/>
    <cellStyle name="Normal 3 3 12" xfId="3486"/>
    <cellStyle name="Normal 3 3 12 2" xfId="3487"/>
    <cellStyle name="Normal 3 3 12 2 2" xfId="3488"/>
    <cellStyle name="Normal 3 3 12 3" xfId="3489"/>
    <cellStyle name="Normal 3 3 13" xfId="3490"/>
    <cellStyle name="Normal 3 3 13 2" xfId="3491"/>
    <cellStyle name="Normal 3 3 14" xfId="3492"/>
    <cellStyle name="Normal 3 3 2" xfId="96"/>
    <cellStyle name="Normal 3 3 2 2" xfId="191"/>
    <cellStyle name="Normal 3 3 2 2 2" xfId="901"/>
    <cellStyle name="Normal 3 3 2 2 2 2" xfId="3493"/>
    <cellStyle name="Normal 3 3 2 2 2 2 2" xfId="3494"/>
    <cellStyle name="Normal 3 3 2 2 2 3" xfId="3495"/>
    <cellStyle name="Normal 3 3 2 2 3" xfId="1334"/>
    <cellStyle name="Normal 3 3 2 2 3 2" xfId="3496"/>
    <cellStyle name="Normal 3 3 2 2 4" xfId="1335"/>
    <cellStyle name="Normal 3 3 2 3" xfId="216"/>
    <cellStyle name="Normal 3 3 2 3 2" xfId="923"/>
    <cellStyle name="Normal 3 3 2 3 2 2" xfId="3497"/>
    <cellStyle name="Normal 3 3 2 3 2 2 2" xfId="3498"/>
    <cellStyle name="Normal 3 3 2 3 2 3" xfId="3499"/>
    <cellStyle name="Normal 3 3 2 3 3" xfId="1336"/>
    <cellStyle name="Normal 3 3 2 3 3 2" xfId="3500"/>
    <cellStyle name="Normal 3 3 2 3 4" xfId="1337"/>
    <cellStyle name="Normal 3 3 2 4" xfId="229"/>
    <cellStyle name="Normal 3 3 2 4 2" xfId="935"/>
    <cellStyle name="Normal 3 3 2 4 2 2" xfId="3501"/>
    <cellStyle name="Normal 3 3 2 4 2 2 2" xfId="3502"/>
    <cellStyle name="Normal 3 3 2 4 2 3" xfId="3503"/>
    <cellStyle name="Normal 3 3 2 4 3" xfId="1338"/>
    <cellStyle name="Normal 3 3 2 4 3 2" xfId="3504"/>
    <cellStyle name="Normal 3 3 2 4 4" xfId="1339"/>
    <cellStyle name="Normal 3 3 2 5" xfId="173"/>
    <cellStyle name="Normal 3 3 2 5 2" xfId="887"/>
    <cellStyle name="Normal 3 3 2 5 2 2" xfId="3505"/>
    <cellStyle name="Normal 3 3 2 5 2 2 2" xfId="3506"/>
    <cellStyle name="Normal 3 3 2 5 2 3" xfId="3507"/>
    <cellStyle name="Normal 3 3 2 5 3" xfId="3508"/>
    <cellStyle name="Normal 3 3 2 5 3 2" xfId="3509"/>
    <cellStyle name="Normal 3 3 2 5 4" xfId="3510"/>
    <cellStyle name="Normal 3 3 2 6" xfId="819"/>
    <cellStyle name="Normal 3 3 2 6 2" xfId="3511"/>
    <cellStyle name="Normal 3 3 2 6 2 2" xfId="3512"/>
    <cellStyle name="Normal 3 3 2 6 3" xfId="3513"/>
    <cellStyle name="Normal 3 3 2 7" xfId="3514"/>
    <cellStyle name="Normal 3 3 2 7 2" xfId="3515"/>
    <cellStyle name="Normal 3 3 2 7 2 2" xfId="3516"/>
    <cellStyle name="Normal 3 3 2 7 3" xfId="3517"/>
    <cellStyle name="Normal 3 3 2 8" xfId="3518"/>
    <cellStyle name="Normal 3 3 2 8 2" xfId="3519"/>
    <cellStyle name="Normal 3 3 2 9" xfId="3520"/>
    <cellStyle name="Normal 3 3 3" xfId="99"/>
    <cellStyle name="Normal 3 3 3 2" xfId="192"/>
    <cellStyle name="Normal 3 3 3 2 2" xfId="902"/>
    <cellStyle name="Normal 3 3 3 2 2 2" xfId="3521"/>
    <cellStyle name="Normal 3 3 3 2 2 2 2" xfId="3522"/>
    <cellStyle name="Normal 3 3 3 2 2 3" xfId="3523"/>
    <cellStyle name="Normal 3 3 3 2 3" xfId="1340"/>
    <cellStyle name="Normal 3 3 3 2 3 2" xfId="3524"/>
    <cellStyle name="Normal 3 3 3 2 4" xfId="1341"/>
    <cellStyle name="Normal 3 3 3 3" xfId="217"/>
    <cellStyle name="Normal 3 3 3 3 2" xfId="924"/>
    <cellStyle name="Normal 3 3 3 3 2 2" xfId="3525"/>
    <cellStyle name="Normal 3 3 3 3 2 2 2" xfId="3526"/>
    <cellStyle name="Normal 3 3 3 3 2 3" xfId="3527"/>
    <cellStyle name="Normal 3 3 3 3 3" xfId="1342"/>
    <cellStyle name="Normal 3 3 3 3 3 2" xfId="3528"/>
    <cellStyle name="Normal 3 3 3 3 4" xfId="1343"/>
    <cellStyle name="Normal 3 3 3 4" xfId="230"/>
    <cellStyle name="Normal 3 3 3 4 2" xfId="936"/>
    <cellStyle name="Normal 3 3 3 4 2 2" xfId="3529"/>
    <cellStyle name="Normal 3 3 3 4 2 2 2" xfId="3530"/>
    <cellStyle name="Normal 3 3 3 4 2 3" xfId="3531"/>
    <cellStyle name="Normal 3 3 3 4 3" xfId="1344"/>
    <cellStyle name="Normal 3 3 3 4 3 2" xfId="3532"/>
    <cellStyle name="Normal 3 3 3 4 4" xfId="1345"/>
    <cellStyle name="Normal 3 3 3 5" xfId="171"/>
    <cellStyle name="Normal 3 3 3 5 2" xfId="885"/>
    <cellStyle name="Normal 3 3 3 5 2 2" xfId="3533"/>
    <cellStyle name="Normal 3 3 3 5 2 2 2" xfId="3534"/>
    <cellStyle name="Normal 3 3 3 5 2 3" xfId="3535"/>
    <cellStyle name="Normal 3 3 3 5 3" xfId="1346"/>
    <cellStyle name="Normal 3 3 3 5 3 2" xfId="3536"/>
    <cellStyle name="Normal 3 3 3 5 4" xfId="1347"/>
    <cellStyle name="Normal 3 3 3 6" xfId="822"/>
    <cellStyle name="Normal 3 3 3 6 2" xfId="3537"/>
    <cellStyle name="Normal 3 3 3 6 2 2" xfId="3538"/>
    <cellStyle name="Normal 3 3 3 6 3" xfId="3539"/>
    <cellStyle name="Normal 3 3 3 7" xfId="1348"/>
    <cellStyle name="Normal 3 3 3 7 2" xfId="3540"/>
    <cellStyle name="Normal 3 3 3 8" xfId="1349"/>
    <cellStyle name="Normal 3 3 4" xfId="190"/>
    <cellStyle name="Normal 3 3 4 2" xfId="900"/>
    <cellStyle name="Normal 3 3 4 2 2" xfId="3541"/>
    <cellStyle name="Normal 3 3 4 2 2 2" xfId="3542"/>
    <cellStyle name="Normal 3 3 4 2 3" xfId="3543"/>
    <cellStyle name="Normal 3 3 4 3" xfId="1350"/>
    <cellStyle name="Normal 3 3 4 3 2" xfId="3544"/>
    <cellStyle name="Normal 3 3 4 4" xfId="1351"/>
    <cellStyle name="Normal 3 3 5" xfId="215"/>
    <cellStyle name="Normal 3 3 5 2" xfId="922"/>
    <cellStyle name="Normal 3 3 5 2 2" xfId="3545"/>
    <cellStyle name="Normal 3 3 5 2 2 2" xfId="3546"/>
    <cellStyle name="Normal 3 3 5 2 3" xfId="3547"/>
    <cellStyle name="Normal 3 3 5 3" xfId="1352"/>
    <cellStyle name="Normal 3 3 5 3 2" xfId="3548"/>
    <cellStyle name="Normal 3 3 5 4" xfId="1353"/>
    <cellStyle name="Normal 3 3 6" xfId="228"/>
    <cellStyle name="Normal 3 3 6 2" xfId="934"/>
    <cellStyle name="Normal 3 3 6 2 2" xfId="3549"/>
    <cellStyle name="Normal 3 3 6 2 2 2" xfId="3550"/>
    <cellStyle name="Normal 3 3 6 2 3" xfId="3551"/>
    <cellStyle name="Normal 3 3 6 3" xfId="1354"/>
    <cellStyle name="Normal 3 3 6 3 2" xfId="3552"/>
    <cellStyle name="Normal 3 3 6 4" xfId="1355"/>
    <cellStyle name="Normal 3 3 7" xfId="179"/>
    <cellStyle name="Normal 3 3 7 2" xfId="892"/>
    <cellStyle name="Normal 3 3 7 2 2" xfId="3553"/>
    <cellStyle name="Normal 3 3 7 2 2 2" xfId="3554"/>
    <cellStyle name="Normal 3 3 7 2 3" xfId="3555"/>
    <cellStyle name="Normal 3 3 7 3" xfId="1356"/>
    <cellStyle name="Normal 3 3 7 3 2" xfId="3556"/>
    <cellStyle name="Normal 3 3 7 4" xfId="1357"/>
    <cellStyle name="Normal 3 3 8" xfId="252"/>
    <cellStyle name="Normal 3 3 8 2" xfId="956"/>
    <cellStyle name="Normal 3 3 8 2 2" xfId="3557"/>
    <cellStyle name="Normal 3 3 8 2 2 2" xfId="3558"/>
    <cellStyle name="Normal 3 3 8 2 3" xfId="3559"/>
    <cellStyle name="Normal 3 3 8 3" xfId="3560"/>
    <cellStyle name="Normal 3 3 8 3 2" xfId="3561"/>
    <cellStyle name="Normal 3 3 8 4" xfId="3562"/>
    <cellStyle name="Normal 3 3 9" xfId="255"/>
    <cellStyle name="Normal 3 3 9 2" xfId="958"/>
    <cellStyle name="Normal 3 3 9 2 2" xfId="3563"/>
    <cellStyle name="Normal 3 3 9 2 2 2" xfId="3564"/>
    <cellStyle name="Normal 3 3 9 2 3" xfId="3565"/>
    <cellStyle name="Normal 3 3 9 3" xfId="3566"/>
    <cellStyle name="Normal 3 3 9 3 2" xfId="3567"/>
    <cellStyle name="Normal 3 3 9 4" xfId="3568"/>
    <cellStyle name="Normal 3 4" xfId="98"/>
    <cellStyle name="Normal 3 4 10" xfId="3569"/>
    <cellStyle name="Normal 3 4 10 2" xfId="3570"/>
    <cellStyle name="Normal 3 4 10 2 2" xfId="3571"/>
    <cellStyle name="Normal 3 4 10 3" xfId="3572"/>
    <cellStyle name="Normal 3 4 11" xfId="3573"/>
    <cellStyle name="Normal 3 4 11 2" xfId="3574"/>
    <cellStyle name="Normal 3 4 12" xfId="3575"/>
    <cellStyle name="Normal 3 4 2" xfId="193"/>
    <cellStyle name="Normal 3 4 2 2" xfId="490"/>
    <cellStyle name="Normal 3 4 2 3" xfId="491"/>
    <cellStyle name="Normal 3 4 2 4" xfId="492"/>
    <cellStyle name="Normal 3 4 2 5" xfId="903"/>
    <cellStyle name="Normal 3 4 2 5 2" xfId="3576"/>
    <cellStyle name="Normal 3 4 2 5 2 2" xfId="3577"/>
    <cellStyle name="Normal 3 4 2 5 3" xfId="3578"/>
    <cellStyle name="Normal 3 4 2 6" xfId="3579"/>
    <cellStyle name="Normal 3 4 2 6 2" xfId="3580"/>
    <cellStyle name="Normal 3 4 2 7" xfId="3581"/>
    <cellStyle name="Normal 3 4 3" xfId="218"/>
    <cellStyle name="Normal 3 4 3 2" xfId="493"/>
    <cellStyle name="Normal 3 4 3 3" xfId="494"/>
    <cellStyle name="Normal 3 4 3 4" xfId="495"/>
    <cellStyle name="Normal 3 4 3 5" xfId="925"/>
    <cellStyle name="Normal 3 4 3 5 2" xfId="3582"/>
    <cellStyle name="Normal 3 4 3 5 2 2" xfId="3583"/>
    <cellStyle name="Normal 3 4 3 5 3" xfId="3584"/>
    <cellStyle name="Normal 3 4 3 6" xfId="3585"/>
    <cellStyle name="Normal 3 4 3 6 2" xfId="3586"/>
    <cellStyle name="Normal 3 4 3 7" xfId="3587"/>
    <cellStyle name="Normal 3 4 4" xfId="231"/>
    <cellStyle name="Normal 3 4 4 2" xfId="937"/>
    <cellStyle name="Normal 3 4 4 2 2" xfId="3588"/>
    <cellStyle name="Normal 3 4 4 2 2 2" xfId="3589"/>
    <cellStyle name="Normal 3 4 4 2 3" xfId="3590"/>
    <cellStyle name="Normal 3 4 4 3" xfId="1358"/>
    <cellStyle name="Normal 3 4 4 3 2" xfId="3591"/>
    <cellStyle name="Normal 3 4 4 4" xfId="1359"/>
    <cellStyle name="Normal 3 4 5" xfId="496"/>
    <cellStyle name="Normal 3 4 6" xfId="497"/>
    <cellStyle name="Normal 3 4 7" xfId="498"/>
    <cellStyle name="Normal 3 4 8" xfId="821"/>
    <cellStyle name="Normal 3 4 8 2" xfId="3592"/>
    <cellStyle name="Normal 3 4 8 2 2" xfId="3593"/>
    <cellStyle name="Normal 3 4 8 3" xfId="3594"/>
    <cellStyle name="Normal 3 4 9" xfId="3595"/>
    <cellStyle name="Normal 3 4 9 2" xfId="3596"/>
    <cellStyle name="Normal 3 4 9 2 2" xfId="3597"/>
    <cellStyle name="Normal 3 4 9 3" xfId="3598"/>
    <cellStyle name="Normal 3 5" xfId="187"/>
    <cellStyle name="Normal 3 5 2" xfId="898"/>
    <cellStyle name="Normal 3 5 2 2" xfId="3599"/>
    <cellStyle name="Normal 3 5 2 2 2" xfId="3600"/>
    <cellStyle name="Normal 3 5 2 3" xfId="3601"/>
    <cellStyle name="Normal 3 5 3" xfId="1360"/>
    <cellStyle name="Normal 3 5 3 2" xfId="3602"/>
    <cellStyle name="Normal 3 5 3 2 2" xfId="3603"/>
    <cellStyle name="Normal 3 5 3 3" xfId="3604"/>
    <cellStyle name="Normal 3 5 4" xfId="1361"/>
    <cellStyle name="Normal 3 5 4 2" xfId="3605"/>
    <cellStyle name="Normal 3 5 4 2 2" xfId="3606"/>
    <cellStyle name="Normal 3 5 4 3" xfId="3607"/>
    <cellStyle name="Normal 3 5 5" xfId="3608"/>
    <cellStyle name="Normal 3 5 5 2" xfId="3609"/>
    <cellStyle name="Normal 3 5 6" xfId="3610"/>
    <cellStyle name="Normal 3 6" xfId="214"/>
    <cellStyle name="Normal 3 6 2" xfId="921"/>
    <cellStyle name="Normal 3 6 2 2" xfId="3611"/>
    <cellStyle name="Normal 3 6 2 2 2" xfId="3612"/>
    <cellStyle name="Normal 3 6 2 3" xfId="3613"/>
    <cellStyle name="Normal 3 6 3" xfId="1362"/>
    <cellStyle name="Normal 3 6 3 2" xfId="3614"/>
    <cellStyle name="Normal 3 6 3 2 2" xfId="3615"/>
    <cellStyle name="Normal 3 6 3 3" xfId="3616"/>
    <cellStyle name="Normal 3 6 4" xfId="1363"/>
    <cellStyle name="Normal 3 7" xfId="225"/>
    <cellStyle name="Normal 3 7 2" xfId="932"/>
    <cellStyle name="Normal 3 7 2 2" xfId="3617"/>
    <cellStyle name="Normal 3 7 2 2 2" xfId="3618"/>
    <cellStyle name="Normal 3 7 2 3" xfId="3619"/>
    <cellStyle name="Normal 3 7 3" xfId="1364"/>
    <cellStyle name="Normal 3 7 3 2" xfId="3620"/>
    <cellStyle name="Normal 3 7 3 2 2" xfId="3621"/>
    <cellStyle name="Normal 3 7 3 3" xfId="3622"/>
    <cellStyle name="Normal 3 7 4" xfId="1365"/>
    <cellStyle name="Normal 3 7 4 2" xfId="3623"/>
    <cellStyle name="Normal 3 7 4 2 2" xfId="3624"/>
    <cellStyle name="Normal 3 7 4 3" xfId="3625"/>
    <cellStyle name="Normal 3 7 5" xfId="3626"/>
    <cellStyle name="Normal 3 7 5 2" xfId="3627"/>
    <cellStyle name="Normal 3 7 6" xfId="3628"/>
    <cellStyle name="Normal 3 8" xfId="249"/>
    <cellStyle name="Normal 3 8 2" xfId="953"/>
    <cellStyle name="Normal 3 8 2 2" xfId="3629"/>
    <cellStyle name="Normal 3 8 2 2 2" xfId="3630"/>
    <cellStyle name="Normal 3 8 2 3" xfId="3631"/>
    <cellStyle name="Normal 3 8 3" xfId="1366"/>
    <cellStyle name="Normal 3 8 3 2" xfId="3632"/>
    <cellStyle name="Normal 3 8 4" xfId="1367"/>
    <cellStyle name="Normal 3 9" xfId="251"/>
    <cellStyle name="Normal 3 9 2" xfId="955"/>
    <cellStyle name="Normal 3 9 2 2" xfId="3633"/>
    <cellStyle name="Normal 3 9 2 2 2" xfId="3634"/>
    <cellStyle name="Normal 3 9 2 3" xfId="3635"/>
    <cellStyle name="Normal 3 9 3" xfId="3636"/>
    <cellStyle name="Normal 3 9 3 2" xfId="3637"/>
    <cellStyle name="Normal 3 9 4" xfId="3638"/>
    <cellStyle name="Normal 3_Report on May 09,09" xfId="1368"/>
    <cellStyle name="Normal 30" xfId="86"/>
    <cellStyle name="Normal 30 2" xfId="176"/>
    <cellStyle name="Normal 30 2 2" xfId="1369"/>
    <cellStyle name="Normal 30 2 2 2" xfId="1370"/>
    <cellStyle name="Normal 30 2 2 2 2" xfId="1371"/>
    <cellStyle name="Normal 30 2 2 2 2 2" xfId="1372"/>
    <cellStyle name="Normal 30 2 2 2 2 3" xfId="1373"/>
    <cellStyle name="Normal 30 2 2 2 3" xfId="1374"/>
    <cellStyle name="Normal 30 2 2 3" xfId="1375"/>
    <cellStyle name="Normal 30 2 2 3 2" xfId="1376"/>
    <cellStyle name="Normal 30 2 3" xfId="1377"/>
    <cellStyle name="Normal 30 2 3 2" xfId="1378"/>
    <cellStyle name="Normal 30 2 3 2 2" xfId="1379"/>
    <cellStyle name="Normal 30 2 3 2 2 2" xfId="1380"/>
    <cellStyle name="Normal 30 2 3 2 3" xfId="1381"/>
    <cellStyle name="Normal 30 2 3 3" xfId="1382"/>
    <cellStyle name="Normal 30 2 4" xfId="1383"/>
    <cellStyle name="Normal 30 2 4 2" xfId="1384"/>
    <cellStyle name="Normal 30 2 5" xfId="1385"/>
    <cellStyle name="Normal 30 2 5 2" xfId="1386"/>
    <cellStyle name="Normal 30 2 6" xfId="1387"/>
    <cellStyle name="Normal 30 2 7" xfId="1388"/>
    <cellStyle name="Normal 30 3" xfId="1389"/>
    <cellStyle name="Normal 30 3 2" xfId="1390"/>
    <cellStyle name="Normal 30 3 2 2" xfId="1391"/>
    <cellStyle name="Normal 30 3 2 2 2" xfId="1392"/>
    <cellStyle name="Normal 30 3 2 3" xfId="1393"/>
    <cellStyle name="Normal 30 3 3" xfId="1394"/>
    <cellStyle name="Normal 30 3 3 2" xfId="1395"/>
    <cellStyle name="Normal 30 3 3 2 2" xfId="1396"/>
    <cellStyle name="Normal 30 3 3 2 2 2" xfId="1397"/>
    <cellStyle name="Normal 30 3 3 2 3" xfId="1398"/>
    <cellStyle name="Normal 30 3 3 3" xfId="1399"/>
    <cellStyle name="Normal 30 3 3 3 2" xfId="1400"/>
    <cellStyle name="Normal 30 3 3 3 2 2" xfId="1401"/>
    <cellStyle name="Normal 30 3 3 3 2 2 2" xfId="1402"/>
    <cellStyle name="Normal 30 3 3 3 2 2 2 2" xfId="1403"/>
    <cellStyle name="Normal 30 3 3 3 2 2 2 2 2" xfId="1404"/>
    <cellStyle name="Normal 30 3 3 3 2 2 2 3" xfId="1405"/>
    <cellStyle name="Normal 30 3 3 3 2 2 3" xfId="1406"/>
    <cellStyle name="Normal 30 3 3 3 2 2 3 2" xfId="1407"/>
    <cellStyle name="Normal 30 3 3 3 2 2 3 2 2" xfId="1408"/>
    <cellStyle name="Normal 30 3 3 3 2 2 3 2 2 2" xfId="1409"/>
    <cellStyle name="Normal 30 3 3 3 2 2 3 2 3" xfId="1410"/>
    <cellStyle name="Normal 30 3 3 3 2 2 3 3" xfId="1411"/>
    <cellStyle name="Normal 30 3 3 3 2 2 3 3 2" xfId="1412"/>
    <cellStyle name="Normal 30 3 3 3 2 2 3 3 2 2" xfId="1413"/>
    <cellStyle name="Normal 30 3 3 3 2 2 3 3 2 2 2" xfId="1414"/>
    <cellStyle name="Normal 30 3 3 3 2 2 3 3 2 3" xfId="1415"/>
    <cellStyle name="Normal 30 3 3 3 2 2 3 3 3" xfId="1416"/>
    <cellStyle name="Normal 30 3 3 3 2 2 3 3 3 2" xfId="1417"/>
    <cellStyle name="Normal 30 3 3 3 2 2 3 3 3 2 2" xfId="1418"/>
    <cellStyle name="Normal 30 3 3 3 2 2 3 3 3 3" xfId="1419"/>
    <cellStyle name="Normal 30 3 3 3 2 2 3 3 3 3 2" xfId="1420"/>
    <cellStyle name="Normal 30 3 3 3 2 2 3 3 3 3 2 2" xfId="1421"/>
    <cellStyle name="Normal 30 3 3 3 2 2 3 3 3 4" xfId="1422"/>
    <cellStyle name="Normal 30 3 3 3 2 2 3 3 4" xfId="1423"/>
    <cellStyle name="Normal 30 3 3 3 2 2 3 3 4 2" xfId="1424"/>
    <cellStyle name="Normal 30 3 3 3 2 2 3 3 5" xfId="1425"/>
    <cellStyle name="Normal 30 3 3 3 2 2 3 4" xfId="1426"/>
    <cellStyle name="Normal 30 3 3 3 2 2 3 4 2" xfId="1427"/>
    <cellStyle name="Normal 30 3 3 3 2 2 3 5" xfId="1428"/>
    <cellStyle name="Normal 30 3 3 3 2 2 4" xfId="1429"/>
    <cellStyle name="Normal 30 3 3 3 2 2 4 2" xfId="1430"/>
    <cellStyle name="Normal 30 3 3 3 2 2 5" xfId="1431"/>
    <cellStyle name="Normal 30 3 3 3 2 3" xfId="1432"/>
    <cellStyle name="Normal 30 3 3 3 2 3 2" xfId="1433"/>
    <cellStyle name="Normal 30 3 3 3 2 4" xfId="1434"/>
    <cellStyle name="Normal 30 3 3 3 3" xfId="1435"/>
    <cellStyle name="Normal 30 3 3 3 3 2" xfId="1436"/>
    <cellStyle name="Normal 30 3 3 3 4" xfId="1437"/>
    <cellStyle name="Normal 30 3 3 4" xfId="1438"/>
    <cellStyle name="Normal 30 3 3 4 2" xfId="1439"/>
    <cellStyle name="Normal 30 3 3 5" xfId="1440"/>
    <cellStyle name="Normal 30 3 4" xfId="1441"/>
    <cellStyle name="Normal 30 3 4 2" xfId="1442"/>
    <cellStyle name="Normal 30 4" xfId="1443"/>
    <cellStyle name="Normal 30 4 2" xfId="1444"/>
    <cellStyle name="Normal 30 5" xfId="1445"/>
    <cellStyle name="Normal 30 5 2" xfId="1446"/>
    <cellStyle name="Normal 30 6" xfId="1447"/>
    <cellStyle name="Normal 30 6 2" xfId="1448"/>
    <cellStyle name="Normal 30 7" xfId="1449"/>
    <cellStyle name="Normal 30 8" xfId="1450"/>
    <cellStyle name="Normal 31" xfId="87"/>
    <cellStyle name="Normal 31 2" xfId="1451"/>
    <cellStyle name="Normal 31 2 2" xfId="1452"/>
    <cellStyle name="Normal 31 2 2 2" xfId="1453"/>
    <cellStyle name="Normal 31 2 2 2 2" xfId="1454"/>
    <cellStyle name="Normal 31 2 2 2 2 2" xfId="1455"/>
    <cellStyle name="Normal 31 2 2 2 3" xfId="1456"/>
    <cellStyle name="Normal 31 2 2 3" xfId="1457"/>
    <cellStyle name="Normal 31 2 2 4" xfId="1458"/>
    <cellStyle name="Normal 31 2 2 5" xfId="1459"/>
    <cellStyle name="Normal 31 2 3" xfId="1460"/>
    <cellStyle name="Normal 31 2 3 2" xfId="1461"/>
    <cellStyle name="Normal 31 2 3 2 2" xfId="1462"/>
    <cellStyle name="Normal 31 2 3 3" xfId="1463"/>
    <cellStyle name="Normal 31 2 4" xfId="1464"/>
    <cellStyle name="Normal 31 2 5" xfId="1465"/>
    <cellStyle name="Normal 31 2 6" xfId="1466"/>
    <cellStyle name="Normal 31 3" xfId="1467"/>
    <cellStyle name="Normal 31 3 2" xfId="1468"/>
    <cellStyle name="Normal 31 4" xfId="1469"/>
    <cellStyle name="Normal 31 5" xfId="1470"/>
    <cellStyle name="Normal 31 6" xfId="1471"/>
    <cellStyle name="Normal 32" xfId="88"/>
    <cellStyle name="Normal 32 2" xfId="1472"/>
    <cellStyle name="Normal 32 2 2" xfId="1473"/>
    <cellStyle name="Normal 32 2 2 2" xfId="1474"/>
    <cellStyle name="Normal 32 2 2 2 2" xfId="1475"/>
    <cellStyle name="Normal 32 2 2 2 2 2" xfId="1476"/>
    <cellStyle name="Normal 32 2 2 2 3" xfId="1477"/>
    <cellStyle name="Normal 32 2 2 3" xfId="1478"/>
    <cellStyle name="Normal 32 2 3" xfId="1479"/>
    <cellStyle name="Normal 32 3" xfId="1480"/>
    <cellStyle name="Normal 32 3 2" xfId="1481"/>
    <cellStyle name="Normal 32 3 2 2" xfId="1482"/>
    <cellStyle name="Normal 32 3 3" xfId="1483"/>
    <cellStyle name="Normal 32 3 3 2" xfId="1484"/>
    <cellStyle name="Normal 32 3 4" xfId="1485"/>
    <cellStyle name="Normal 32 4" xfId="1486"/>
    <cellStyle name="Normal 32 4 2" xfId="1487"/>
    <cellStyle name="Normal 32 5" xfId="1488"/>
    <cellStyle name="Normal 32 5 2" xfId="1489"/>
    <cellStyle name="Normal 32 5 3" xfId="1490"/>
    <cellStyle name="Normal 32 5 3 2" xfId="1491"/>
    <cellStyle name="Normal 32 5 4" xfId="1492"/>
    <cellStyle name="Normal 32 5 4 2" xfId="1493"/>
    <cellStyle name="Normal 32 5 5" xfId="1494"/>
    <cellStyle name="Normal 32 5 6" xfId="1495"/>
    <cellStyle name="Normal 32 5 7" xfId="1496"/>
    <cellStyle name="Normal 32 5 8" xfId="1497"/>
    <cellStyle name="Normal 32 5 9" xfId="1498"/>
    <cellStyle name="Normal 32 6" xfId="1499"/>
    <cellStyle name="Normal 32 6 2" xfId="1500"/>
    <cellStyle name="Normal 32 7" xfId="1501"/>
    <cellStyle name="Normal 32 8" xfId="1502"/>
    <cellStyle name="Normal 32 9" xfId="1503"/>
    <cellStyle name="Normal 33" xfId="125"/>
    <cellStyle name="Normal 33 2" xfId="844"/>
    <cellStyle name="Normal 33 2 2" xfId="3639"/>
    <cellStyle name="Normal 33 2 2 2" xfId="3640"/>
    <cellStyle name="Normal 33 2 3" xfId="3641"/>
    <cellStyle name="Normal 33 3" xfId="1504"/>
    <cellStyle name="Normal 33 3 2" xfId="3642"/>
    <cellStyle name="Normal 33 3 2 2" xfId="3643"/>
    <cellStyle name="Normal 33 3 3" xfId="3644"/>
    <cellStyle name="Normal 33 4" xfId="1505"/>
    <cellStyle name="Normal 33 4 2" xfId="3645"/>
    <cellStyle name="Normal 33 5" xfId="3646"/>
    <cellStyle name="Normal 34" xfId="127"/>
    <cellStyle name="Normal 34 2" xfId="499"/>
    <cellStyle name="Normal 34 2 2" xfId="500"/>
    <cellStyle name="Normal 34 2 3" xfId="501"/>
    <cellStyle name="Normal 34 2 4" xfId="502"/>
    <cellStyle name="Normal 34 3" xfId="503"/>
    <cellStyle name="Normal 34 3 2" xfId="504"/>
    <cellStyle name="Normal 34 3 3" xfId="505"/>
    <cellStyle name="Normal 34 3 4" xfId="506"/>
    <cellStyle name="Normal 34 4" xfId="507"/>
    <cellStyle name="Normal 34 5" xfId="508"/>
    <cellStyle name="Normal 34 6" xfId="509"/>
    <cellStyle name="Normal 34 7" xfId="510"/>
    <cellStyle name="Normal 34 8" xfId="846"/>
    <cellStyle name="Normal 34 8 2" xfId="3647"/>
    <cellStyle name="Normal 34 8 2 2" xfId="3648"/>
    <cellStyle name="Normal 34 8 3" xfId="3649"/>
    <cellStyle name="Normal 34 9" xfId="3650"/>
    <cellStyle name="Normal 34 9 2" xfId="3651"/>
    <cellStyle name="Normal 34 9 2 2" xfId="3652"/>
    <cellStyle name="Normal 34 9 3" xfId="3653"/>
    <cellStyle name="Normal 35" xfId="511"/>
    <cellStyle name="Normal 35 2" xfId="1005"/>
    <cellStyle name="Normal 35 2 2" xfId="1506"/>
    <cellStyle name="Normal 35 2 2 2" xfId="3654"/>
    <cellStyle name="Normal 35 2 3" xfId="3655"/>
    <cellStyle name="Normal 35 3" xfId="1507"/>
    <cellStyle name="Normal 35 3 2" xfId="3656"/>
    <cellStyle name="Normal 35 4" xfId="3657"/>
    <cellStyle name="Normal 36" xfId="512"/>
    <cellStyle name="Normal 36 2" xfId="1508"/>
    <cellStyle name="Normal 36 2 2" xfId="1509"/>
    <cellStyle name="Normal 36 3" xfId="1510"/>
    <cellStyle name="Normal 37" xfId="513"/>
    <cellStyle name="Normal 37 2" xfId="514"/>
    <cellStyle name="Normal 37 2 2" xfId="515"/>
    <cellStyle name="Normal 37 2 3" xfId="516"/>
    <cellStyle name="Normal 37 2 4" xfId="517"/>
    <cellStyle name="Normal 37 3" xfId="518"/>
    <cellStyle name="Normal 37 3 2" xfId="519"/>
    <cellStyle name="Normal 37 3 3" xfId="520"/>
    <cellStyle name="Normal 37 3 4" xfId="521"/>
    <cellStyle name="Normal 37 4" xfId="522"/>
    <cellStyle name="Normal 37 5" xfId="523"/>
    <cellStyle name="Normal 37 6" xfId="524"/>
    <cellStyle name="Normal 37 7" xfId="525"/>
    <cellStyle name="Normal 38" xfId="526"/>
    <cellStyle name="Normal 38 2" xfId="527"/>
    <cellStyle name="Normal 38 2 2" xfId="528"/>
    <cellStyle name="Normal 38 2 3" xfId="529"/>
    <cellStyle name="Normal 38 2 4" xfId="530"/>
    <cellStyle name="Normal 38 3" xfId="531"/>
    <cellStyle name="Normal 38 3 2" xfId="532"/>
    <cellStyle name="Normal 38 3 3" xfId="533"/>
    <cellStyle name="Normal 38 3 4" xfId="534"/>
    <cellStyle name="Normal 38 4" xfId="535"/>
    <cellStyle name="Normal 38 5" xfId="536"/>
    <cellStyle name="Normal 38 6" xfId="537"/>
    <cellStyle name="Normal 38 7" xfId="538"/>
    <cellStyle name="Normal 39" xfId="539"/>
    <cellStyle name="Normal 39 2" xfId="540"/>
    <cellStyle name="Normal 39 2 2" xfId="1007"/>
    <cellStyle name="Normal 39 2 2 2" xfId="3658"/>
    <cellStyle name="Normal 39 2 2 2 2" xfId="3659"/>
    <cellStyle name="Normal 39 2 2 3" xfId="3660"/>
    <cellStyle name="Normal 39 2 3" xfId="3661"/>
    <cellStyle name="Normal 39 2 3 2" xfId="3662"/>
    <cellStyle name="Normal 39 2 4" xfId="3663"/>
    <cellStyle name="Normal 39 3" xfId="1006"/>
    <cellStyle name="Normal 39 3 2" xfId="3664"/>
    <cellStyle name="Normal 39 3 2 2" xfId="3665"/>
    <cellStyle name="Normal 39 3 3" xfId="3666"/>
    <cellStyle name="Normal 39 4" xfId="1511"/>
    <cellStyle name="Normal 39 4 2" xfId="1512"/>
    <cellStyle name="Normal 39 4 3" xfId="1513"/>
    <cellStyle name="Normal 39 4 3 2" xfId="1514"/>
    <cellStyle name="Normal 39 5" xfId="1515"/>
    <cellStyle name="Normal 4" xfId="11"/>
    <cellStyle name="Normal 4 10" xfId="3667"/>
    <cellStyle name="Normal 4 10 2" xfId="3668"/>
    <cellStyle name="Normal 4 11" xfId="3669"/>
    <cellStyle name="Normal 4 2" xfId="113"/>
    <cellStyle name="Normal 4 2 10" xfId="3670"/>
    <cellStyle name="Normal 4 2 2" xfId="198"/>
    <cellStyle name="Normal 4 2 2 2" xfId="272"/>
    <cellStyle name="Normal 4 2 2 2 2" xfId="969"/>
    <cellStyle name="Normal 4 2 2 2 2 2" xfId="3671"/>
    <cellStyle name="Normal 4 2 2 2 2 2 2" xfId="3672"/>
    <cellStyle name="Normal 4 2 2 2 2 3" xfId="3673"/>
    <cellStyle name="Normal 4 2 2 2 3" xfId="3674"/>
    <cellStyle name="Normal 4 2 2 2 3 2" xfId="3675"/>
    <cellStyle name="Normal 4 2 2 2 3 2 2" xfId="3676"/>
    <cellStyle name="Normal 4 2 2 2 3 3" xfId="3677"/>
    <cellStyle name="Normal 4 2 2 2 4" xfId="3678"/>
    <cellStyle name="Normal 4 2 2 2 4 2" xfId="3679"/>
    <cellStyle name="Normal 4 2 2 2 4 2 2" xfId="3680"/>
    <cellStyle name="Normal 4 2 2 2 4 3" xfId="3681"/>
    <cellStyle name="Normal 4 2 2 2 5" xfId="3682"/>
    <cellStyle name="Normal 4 2 2 2 5 2" xfId="3683"/>
    <cellStyle name="Normal 4 2 2 2 6" xfId="3684"/>
    <cellStyle name="Normal 4 2 2 3" xfId="541"/>
    <cellStyle name="Normal 4 2 2 3 2" xfId="1008"/>
    <cellStyle name="Normal 4 2 2 3 2 2" xfId="3685"/>
    <cellStyle name="Normal 4 2 2 3 2 2 2" xfId="3686"/>
    <cellStyle name="Normal 4 2 2 3 2 3" xfId="3687"/>
    <cellStyle name="Normal 4 2 2 3 3" xfId="3688"/>
    <cellStyle name="Normal 4 2 2 3 3 2" xfId="3689"/>
    <cellStyle name="Normal 4 2 2 3 4" xfId="3690"/>
    <cellStyle name="Normal 4 2 2 4" xfId="908"/>
    <cellStyle name="Normal 4 2 2 4 2" xfId="3691"/>
    <cellStyle name="Normal 4 2 2 4 2 2" xfId="3692"/>
    <cellStyle name="Normal 4 2 2 4 3" xfId="3693"/>
    <cellStyle name="Normal 4 2 2 5" xfId="3694"/>
    <cellStyle name="Normal 4 2 2 5 2" xfId="3695"/>
    <cellStyle name="Normal 4 2 2 5 2 2" xfId="3696"/>
    <cellStyle name="Normal 4 2 2 5 3" xfId="3697"/>
    <cellStyle name="Normal 4 2 2 6" xfId="3698"/>
    <cellStyle name="Normal 4 2 2 6 2" xfId="3699"/>
    <cellStyle name="Normal 4 2 2 6 2 2" xfId="3700"/>
    <cellStyle name="Normal 4 2 2 6 3" xfId="3701"/>
    <cellStyle name="Normal 4 2 2 7" xfId="3702"/>
    <cellStyle name="Normal 4 2 2 7 2" xfId="3703"/>
    <cellStyle name="Normal 4 2 2 8" xfId="3704"/>
    <cellStyle name="Normal 4 2 3" xfId="219"/>
    <cellStyle name="Normal 4 2 3 2" xfId="926"/>
    <cellStyle name="Normal 4 2 3 2 2" xfId="3705"/>
    <cellStyle name="Normal 4 2 3 2 2 2" xfId="3706"/>
    <cellStyle name="Normal 4 2 3 2 2 2 2" xfId="3707"/>
    <cellStyle name="Normal 4 2 3 2 2 3" xfId="3708"/>
    <cellStyle name="Normal 4 2 3 2 3" xfId="3709"/>
    <cellStyle name="Normal 4 2 3 2 3 2" xfId="3710"/>
    <cellStyle name="Normal 4 2 3 2 3 2 2" xfId="3711"/>
    <cellStyle name="Normal 4 2 3 2 3 3" xfId="3712"/>
    <cellStyle name="Normal 4 2 3 2 4" xfId="3713"/>
    <cellStyle name="Normal 4 2 3 2 4 2" xfId="3714"/>
    <cellStyle name="Normal 4 2 3 2 5" xfId="3715"/>
    <cellStyle name="Normal 4 2 3 3" xfId="1516"/>
    <cellStyle name="Normal 4 2 3 3 2" xfId="3716"/>
    <cellStyle name="Normal 4 2 3 3 2 2" xfId="3717"/>
    <cellStyle name="Normal 4 2 3 3 3" xfId="3718"/>
    <cellStyle name="Normal 4 2 3 4" xfId="1517"/>
    <cellStyle name="Normal 4 2 3 4 2" xfId="3719"/>
    <cellStyle name="Normal 4 2 3 4 2 2" xfId="3720"/>
    <cellStyle name="Normal 4 2 3 4 3" xfId="3721"/>
    <cellStyle name="Normal 4 2 3 5" xfId="3722"/>
    <cellStyle name="Normal 4 2 3 5 2" xfId="3723"/>
    <cellStyle name="Normal 4 2 3 6" xfId="3724"/>
    <cellStyle name="Normal 4 2 4" xfId="236"/>
    <cellStyle name="Normal 4 2 4 2" xfId="940"/>
    <cellStyle name="Normal 4 2 4 2 2" xfId="3725"/>
    <cellStyle name="Normal 4 2 4 2 2 2" xfId="3726"/>
    <cellStyle name="Normal 4 2 4 2 3" xfId="3727"/>
    <cellStyle name="Normal 4 2 4 3" xfId="1518"/>
    <cellStyle name="Normal 4 2 4 3 2" xfId="3728"/>
    <cellStyle name="Normal 4 2 4 3 2 2" xfId="3729"/>
    <cellStyle name="Normal 4 2 4 3 3" xfId="3730"/>
    <cellStyle name="Normal 4 2 4 4" xfId="1519"/>
    <cellStyle name="Normal 4 2 4 4 2" xfId="3731"/>
    <cellStyle name="Normal 4 2 4 4 2 2" xfId="3732"/>
    <cellStyle name="Normal 4 2 4 4 3" xfId="3733"/>
    <cellStyle name="Normal 4 2 4 5" xfId="3734"/>
    <cellStyle name="Normal 4 2 4 5 2" xfId="3735"/>
    <cellStyle name="Normal 4 2 4 6" xfId="3736"/>
    <cellStyle name="Normal 4 2 5" xfId="172"/>
    <cellStyle name="Normal 4 2 5 2" xfId="886"/>
    <cellStyle name="Normal 4 2 5 2 2" xfId="3737"/>
    <cellStyle name="Normal 4 2 5 2 2 2" xfId="3738"/>
    <cellStyle name="Normal 4 2 5 2 3" xfId="3739"/>
    <cellStyle name="Normal 4 2 5 3" xfId="1520"/>
    <cellStyle name="Normal 4 2 5 3 2" xfId="3740"/>
    <cellStyle name="Normal 4 2 5 4" xfId="1521"/>
    <cellStyle name="Normal 4 2 6" xfId="835"/>
    <cellStyle name="Normal 4 2 6 2" xfId="3741"/>
    <cellStyle name="Normal 4 2 6 2 2" xfId="3742"/>
    <cellStyle name="Normal 4 2 6 3" xfId="3743"/>
    <cellStyle name="Normal 4 2 7" xfId="1522"/>
    <cellStyle name="Normal 4 2 7 2" xfId="3744"/>
    <cellStyle name="Normal 4 2 7 2 2" xfId="3745"/>
    <cellStyle name="Normal 4 2 7 3" xfId="3746"/>
    <cellStyle name="Normal 4 2 8" xfId="3747"/>
    <cellStyle name="Normal 4 2 8 2" xfId="3748"/>
    <cellStyle name="Normal 4 2 8 2 2" xfId="3749"/>
    <cellStyle name="Normal 4 2 8 3" xfId="3750"/>
    <cellStyle name="Normal 4 2 9" xfId="3751"/>
    <cellStyle name="Normal 4 2 9 2" xfId="3752"/>
    <cellStyle name="Normal 4 3" xfId="248"/>
    <cellStyle name="Normal 4 3 2" xfId="267"/>
    <cellStyle name="Normal 4 3 2 2" xfId="966"/>
    <cellStyle name="Normal 4 3 2 2 2" xfId="3753"/>
    <cellStyle name="Normal 4 3 2 2 2 2" xfId="3754"/>
    <cellStyle name="Normal 4 3 2 2 3" xfId="3755"/>
    <cellStyle name="Normal 4 3 2 3" xfId="3756"/>
    <cellStyle name="Normal 4 3 2 3 2" xfId="3757"/>
    <cellStyle name="Normal 4 3 2 3 2 2" xfId="3758"/>
    <cellStyle name="Normal 4 3 2 3 3" xfId="3759"/>
    <cellStyle name="Normal 4 3 2 4" xfId="3760"/>
    <cellStyle name="Normal 4 3 2 4 2" xfId="3761"/>
    <cellStyle name="Normal 4 3 2 4 2 2" xfId="3762"/>
    <cellStyle name="Normal 4 3 2 4 3" xfId="3763"/>
    <cellStyle name="Normal 4 3 2 5" xfId="3764"/>
    <cellStyle name="Normal 4 3 2 5 2" xfId="3765"/>
    <cellStyle name="Normal 4 3 2 6" xfId="3766"/>
    <cellStyle name="Normal 4 3 3" xfId="952"/>
    <cellStyle name="Normal 4 3 3 2" xfId="3767"/>
    <cellStyle name="Normal 4 3 3 2 2" xfId="3768"/>
    <cellStyle name="Normal 4 3 3 3" xfId="3769"/>
    <cellStyle name="Normal 4 3 4" xfId="3770"/>
    <cellStyle name="Normal 4 3 4 2" xfId="3771"/>
    <cellStyle name="Normal 4 3 4 2 2" xfId="3772"/>
    <cellStyle name="Normal 4 3 4 3" xfId="3773"/>
    <cellStyle name="Normal 4 3 5" xfId="3774"/>
    <cellStyle name="Normal 4 3 5 2" xfId="3775"/>
    <cellStyle name="Normal 4 3 5 2 2" xfId="3776"/>
    <cellStyle name="Normal 4 3 5 3" xfId="3777"/>
    <cellStyle name="Normal 4 3 6" xfId="3778"/>
    <cellStyle name="Normal 4 3 6 2" xfId="3779"/>
    <cellStyle name="Normal 4 3 7" xfId="3780"/>
    <cellStyle name="Normal 4 4" xfId="256"/>
    <cellStyle name="Normal 4 4 2" xfId="959"/>
    <cellStyle name="Normal 4 4 2 2" xfId="3781"/>
    <cellStyle name="Normal 4 4 2 2 2" xfId="3782"/>
    <cellStyle name="Normal 4 4 2 3" xfId="3783"/>
    <cellStyle name="Normal 4 4 3" xfId="3784"/>
    <cellStyle name="Normal 4 4 3 2" xfId="3785"/>
    <cellStyle name="Normal 4 4 3 2 2" xfId="3786"/>
    <cellStyle name="Normal 4 4 3 3" xfId="3787"/>
    <cellStyle name="Normal 4 5" xfId="1523"/>
    <cellStyle name="Normal 4 6" xfId="1524"/>
    <cellStyle name="Normal 4 6 2" xfId="3788"/>
    <cellStyle name="Normal 4 6 2 2" xfId="3789"/>
    <cellStyle name="Normal 4 6 2 2 2" xfId="3790"/>
    <cellStyle name="Normal 4 6 2 3" xfId="3791"/>
    <cellStyle name="Normal 4 6 3" xfId="3792"/>
    <cellStyle name="Normal 4 6 3 2" xfId="3793"/>
    <cellStyle name="Normal 4 6 4" xfId="3794"/>
    <cellStyle name="Normal 4 7" xfId="3795"/>
    <cellStyle name="Normal 4 7 2" xfId="3796"/>
    <cellStyle name="Normal 4 7 2 2" xfId="3797"/>
    <cellStyle name="Normal 4 7 2 2 2" xfId="3798"/>
    <cellStyle name="Normal 4 7 2 3" xfId="3799"/>
    <cellStyle name="Normal 4 7 3" xfId="3800"/>
    <cellStyle name="Normal 4 7 3 2" xfId="3801"/>
    <cellStyle name="Normal 4 7 4" xfId="3802"/>
    <cellStyle name="Normal 4 8" xfId="3803"/>
    <cellStyle name="Normal 4 9" xfId="3804"/>
    <cellStyle name="Normal 4 9 2" xfId="3805"/>
    <cellStyle name="Normal 4 9 2 2" xfId="3806"/>
    <cellStyle name="Normal 4 9 3" xfId="3807"/>
    <cellStyle name="Normal 4_Report on May 09,09" xfId="1525"/>
    <cellStyle name="Normal 40" xfId="542"/>
    <cellStyle name="Normal 40 2" xfId="1009"/>
    <cellStyle name="Normal 40 2 2" xfId="1526"/>
    <cellStyle name="Normal 40 2 2 2" xfId="3808"/>
    <cellStyle name="Normal 40 2 3" xfId="3809"/>
    <cellStyle name="Normal 40 3" xfId="1527"/>
    <cellStyle name="Normal 40 3 2" xfId="3810"/>
    <cellStyle name="Normal 40 4" xfId="1528"/>
    <cellStyle name="Normal 41" xfId="543"/>
    <cellStyle name="Normal 41 2" xfId="1010"/>
    <cellStyle name="Normal 41 2 2" xfId="1529"/>
    <cellStyle name="Normal 41 2 2 2" xfId="3811"/>
    <cellStyle name="Normal 41 2 3" xfId="3812"/>
    <cellStyle name="Normal 41 3" xfId="1530"/>
    <cellStyle name="Normal 41 3 2" xfId="3813"/>
    <cellStyle name="Normal 41 4" xfId="1531"/>
    <cellStyle name="Normal 42" xfId="544"/>
    <cellStyle name="Normal 42 2" xfId="545"/>
    <cellStyle name="Normal 42 2 2" xfId="1532"/>
    <cellStyle name="Normal 42 3" xfId="1533"/>
    <cellStyle name="Normal 42 4" xfId="1534"/>
    <cellStyle name="Normal 43" xfId="546"/>
    <cellStyle name="Normal 43 2" xfId="547"/>
    <cellStyle name="Normal 43 2 2" xfId="1535"/>
    <cellStyle name="Normal 43 3" xfId="1536"/>
    <cellStyle name="Normal 43 4" xfId="1537"/>
    <cellStyle name="Normal 44" xfId="548"/>
    <cellStyle name="Normal 44 2" xfId="1011"/>
    <cellStyle name="Normal 44 2 2" xfId="1538"/>
    <cellStyle name="Normal 44 2 2 2" xfId="3814"/>
    <cellStyle name="Normal 44 2 3" xfId="3815"/>
    <cellStyle name="Normal 44 3" xfId="1539"/>
    <cellStyle name="Normal 44 3 2" xfId="3816"/>
    <cellStyle name="Normal 44 4" xfId="1540"/>
    <cellStyle name="Normal 45" xfId="549"/>
    <cellStyle name="Normal 45 2" xfId="1012"/>
    <cellStyle name="Normal 45 2 2" xfId="1541"/>
    <cellStyle name="Normal 45 2 2 2" xfId="3817"/>
    <cellStyle name="Normal 45 2 3" xfId="3818"/>
    <cellStyle name="Normal 45 3" xfId="1542"/>
    <cellStyle name="Normal 45 3 2" xfId="3819"/>
    <cellStyle name="Normal 45 4" xfId="1543"/>
    <cellStyle name="Normal 46" xfId="550"/>
    <cellStyle name="Normal 46 2" xfId="551"/>
    <cellStyle name="Normal 46 2 2" xfId="552"/>
    <cellStyle name="Normal 46 2 3" xfId="553"/>
    <cellStyle name="Normal 46 2 4" xfId="554"/>
    <cellStyle name="Normal 46 3" xfId="555"/>
    <cellStyle name="Normal 46 3 2" xfId="556"/>
    <cellStyle name="Normal 46 3 3" xfId="557"/>
    <cellStyle name="Normal 46 3 4" xfId="558"/>
    <cellStyle name="Normal 46 4" xfId="559"/>
    <cellStyle name="Normal 46 5" xfId="560"/>
    <cellStyle name="Normal 46 6" xfId="561"/>
    <cellStyle name="Normal 46 7" xfId="562"/>
    <cellStyle name="Normal 47" xfId="563"/>
    <cellStyle name="Normal 47 2" xfId="564"/>
    <cellStyle name="Normal 47 2 2" xfId="565"/>
    <cellStyle name="Normal 47 2 2 2" xfId="566"/>
    <cellStyle name="Normal 47 2 2 3" xfId="567"/>
    <cellStyle name="Normal 47 2 2 4" xfId="568"/>
    <cellStyle name="Normal 47 2 3" xfId="569"/>
    <cellStyle name="Normal 47 2 3 2" xfId="570"/>
    <cellStyle name="Normal 47 2 3 3" xfId="571"/>
    <cellStyle name="Normal 47 2 3 4" xfId="572"/>
    <cellStyle name="Normal 47 2 4" xfId="573"/>
    <cellStyle name="Normal 47 2 5" xfId="574"/>
    <cellStyle name="Normal 47 2 6" xfId="575"/>
    <cellStyle name="Normal 47 2 7" xfId="576"/>
    <cellStyle name="Normal 47 3" xfId="577"/>
    <cellStyle name="Normal 47 3 2" xfId="578"/>
    <cellStyle name="Normal 47 3 3" xfId="579"/>
    <cellStyle name="Normal 47 3 4" xfId="580"/>
    <cellStyle name="Normal 47 4" xfId="581"/>
    <cellStyle name="Normal 47 4 2" xfId="582"/>
    <cellStyle name="Normal 47 4 3" xfId="583"/>
    <cellStyle name="Normal 47 4 4" xfId="584"/>
    <cellStyle name="Normal 47 5" xfId="585"/>
    <cellStyle name="Normal 47 6" xfId="586"/>
    <cellStyle name="Normal 47 7" xfId="587"/>
    <cellStyle name="Normal 47 8" xfId="588"/>
    <cellStyle name="Normal 48" xfId="589"/>
    <cellStyle name="Normal 48 2" xfId="590"/>
    <cellStyle name="Normal 48 2 2" xfId="591"/>
    <cellStyle name="Normal 48 2 3" xfId="592"/>
    <cellStyle name="Normal 48 2 4" xfId="593"/>
    <cellStyle name="Normal 48 3" xfId="594"/>
    <cellStyle name="Normal 48 3 2" xfId="595"/>
    <cellStyle name="Normal 48 3 3" xfId="596"/>
    <cellStyle name="Normal 48 3 4" xfId="597"/>
    <cellStyle name="Normal 48 4" xfId="598"/>
    <cellStyle name="Normal 48 5" xfId="599"/>
    <cellStyle name="Normal 48 6" xfId="600"/>
    <cellStyle name="Normal 48 7" xfId="601"/>
    <cellStyle name="Normal 49" xfId="602"/>
    <cellStyle name="Normal 49 2" xfId="603"/>
    <cellStyle name="Normal 49 2 2" xfId="604"/>
    <cellStyle name="Normal 49 2 2 2" xfId="605"/>
    <cellStyle name="Normal 49 2 2 3" xfId="606"/>
    <cellStyle name="Normal 49 2 2 4" xfId="607"/>
    <cellStyle name="Normal 49 2 3" xfId="608"/>
    <cellStyle name="Normal 49 2 3 2" xfId="609"/>
    <cellStyle name="Normal 49 2 3 3" xfId="610"/>
    <cellStyle name="Normal 49 2 3 4" xfId="611"/>
    <cellStyle name="Normal 49 2 4" xfId="612"/>
    <cellStyle name="Normal 49 2 5" xfId="613"/>
    <cellStyle name="Normal 49 2 6" xfId="614"/>
    <cellStyle name="Normal 49 2 7" xfId="615"/>
    <cellStyle name="Normal 49 3" xfId="616"/>
    <cellStyle name="Normal 49 3 2" xfId="617"/>
    <cellStyle name="Normal 49 3 3" xfId="618"/>
    <cellStyle name="Normal 49 3 4" xfId="619"/>
    <cellStyle name="Normal 49 4" xfId="620"/>
    <cellStyle name="Normal 49 4 2" xfId="621"/>
    <cellStyle name="Normal 49 4 3" xfId="622"/>
    <cellStyle name="Normal 49 4 4" xfId="623"/>
    <cellStyle name="Normal 49 5" xfId="624"/>
    <cellStyle name="Normal 49 6" xfId="625"/>
    <cellStyle name="Normal 49 7" xfId="626"/>
    <cellStyle name="Normal 49 8" xfId="627"/>
    <cellStyle name="Normal 5" xfId="89"/>
    <cellStyle name="Normal 5 2" xfId="114"/>
    <cellStyle name="Normal 5 2 10" xfId="3820"/>
    <cellStyle name="Normal 5 2 2" xfId="200"/>
    <cellStyle name="Normal 5 2 2 2" xfId="910"/>
    <cellStyle name="Normal 5 2 2 2 2" xfId="3821"/>
    <cellStyle name="Normal 5 2 2 2 2 2" xfId="3822"/>
    <cellStyle name="Normal 5 2 2 2 3" xfId="3823"/>
    <cellStyle name="Normal 5 2 2 3" xfId="1544"/>
    <cellStyle name="Normal 5 2 2 3 2" xfId="3824"/>
    <cellStyle name="Normal 5 2 2 4" xfId="1545"/>
    <cellStyle name="Normal 5 2 3" xfId="220"/>
    <cellStyle name="Normal 5 2 3 2" xfId="927"/>
    <cellStyle name="Normal 5 2 3 2 2" xfId="3825"/>
    <cellStyle name="Normal 5 2 3 2 2 2" xfId="3826"/>
    <cellStyle name="Normal 5 2 3 2 3" xfId="3827"/>
    <cellStyle name="Normal 5 2 3 3" xfId="1546"/>
    <cellStyle name="Normal 5 2 3 3 2" xfId="3828"/>
    <cellStyle name="Normal 5 2 3 4" xfId="1547"/>
    <cellStyle name="Normal 5 2 4" xfId="238"/>
    <cellStyle name="Normal 5 2 4 2" xfId="942"/>
    <cellStyle name="Normal 5 2 4 2 2" xfId="3829"/>
    <cellStyle name="Normal 5 2 4 2 2 2" xfId="3830"/>
    <cellStyle name="Normal 5 2 4 2 3" xfId="3831"/>
    <cellStyle name="Normal 5 2 4 3" xfId="1548"/>
    <cellStyle name="Normal 5 2 4 3 2" xfId="3832"/>
    <cellStyle name="Normal 5 2 4 4" xfId="1549"/>
    <cellStyle name="Normal 5 2 5" xfId="210"/>
    <cellStyle name="Normal 5 2 5 2" xfId="918"/>
    <cellStyle name="Normal 5 2 5 2 2" xfId="3833"/>
    <cellStyle name="Normal 5 2 5 2 2 2" xfId="3834"/>
    <cellStyle name="Normal 5 2 5 2 3" xfId="3835"/>
    <cellStyle name="Normal 5 2 5 3" xfId="1550"/>
    <cellStyle name="Normal 5 2 5 3 2" xfId="3836"/>
    <cellStyle name="Normal 5 2 5 4" xfId="1551"/>
    <cellStyle name="Normal 5 2 6" xfId="836"/>
    <cellStyle name="Normal 5 2 6 2" xfId="3837"/>
    <cellStyle name="Normal 5 2 6 2 2" xfId="3838"/>
    <cellStyle name="Normal 5 2 6 3" xfId="3839"/>
    <cellStyle name="Normal 5 2 7" xfId="1552"/>
    <cellStyle name="Normal 5 2 7 2" xfId="3840"/>
    <cellStyle name="Normal 5 2 7 2 2" xfId="3841"/>
    <cellStyle name="Normal 5 2 7 3" xfId="3842"/>
    <cellStyle name="Normal 5 2 8" xfId="3843"/>
    <cellStyle name="Normal 5 2 8 2" xfId="3844"/>
    <cellStyle name="Normal 5 2 8 2 2" xfId="3845"/>
    <cellStyle name="Normal 5 2 8 3" xfId="3846"/>
    <cellStyle name="Normal 5 2 9" xfId="3847"/>
    <cellStyle name="Normal 5 2 9 2" xfId="3848"/>
    <cellStyle name="Normal 5 3" xfId="245"/>
    <cellStyle name="Normal 5 3 2" xfId="628"/>
    <cellStyle name="Normal 5 3 2 2" xfId="629"/>
    <cellStyle name="Normal 5 3 2 2 2" xfId="630"/>
    <cellStyle name="Normal 5 3 2 2 3" xfId="631"/>
    <cellStyle name="Normal 5 3 2 2 4" xfId="632"/>
    <cellStyle name="Normal 5 3 2 3" xfId="633"/>
    <cellStyle name="Normal 5 3 2 3 2" xfId="634"/>
    <cellStyle name="Normal 5 3 2 3 3" xfId="635"/>
    <cellStyle name="Normal 5 3 2 3 4" xfId="636"/>
    <cellStyle name="Normal 5 3 2 4" xfId="637"/>
    <cellStyle name="Normal 5 3 2 5" xfId="638"/>
    <cellStyle name="Normal 5 3 2 6" xfId="639"/>
    <cellStyle name="Normal 5 3 2 7" xfId="640"/>
    <cellStyle name="Normal 5 3 3" xfId="949"/>
    <cellStyle name="Normal 5 3 3 2" xfId="3849"/>
    <cellStyle name="Normal 5 3 3 2 2" xfId="3850"/>
    <cellStyle name="Normal 5 3 3 3" xfId="3851"/>
    <cellStyle name="Normal 5 3 4" xfId="1553"/>
    <cellStyle name="Normal 5 3 4 2" xfId="3852"/>
    <cellStyle name="Normal 5 3 4 2 2" xfId="3853"/>
    <cellStyle name="Normal 5 3 4 3" xfId="3854"/>
    <cellStyle name="Normal 5 3 5" xfId="3855"/>
    <cellStyle name="Normal 5 3 5 2" xfId="3856"/>
    <cellStyle name="Normal 5 3 5 2 2" xfId="3857"/>
    <cellStyle name="Normal 5 3 5 3" xfId="3858"/>
    <cellStyle name="Normal 5 3 6" xfId="3859"/>
    <cellStyle name="Normal 5 3 6 2" xfId="3860"/>
    <cellStyle name="Normal 5 3 7" xfId="3861"/>
    <cellStyle name="Normal 5 4" xfId="1554"/>
    <cellStyle name="Normal 5 5" xfId="1555"/>
    <cellStyle name="Normal 5 6" xfId="1556"/>
    <cellStyle name="Normal 5_AP_Reate_GL" xfId="641"/>
    <cellStyle name="Normal 50" xfId="642"/>
    <cellStyle name="Normal 50 2" xfId="643"/>
    <cellStyle name="Normal 50 2 2" xfId="644"/>
    <cellStyle name="Normal 50 2 3" xfId="645"/>
    <cellStyle name="Normal 50 2 4" xfId="646"/>
    <cellStyle name="Normal 50 3" xfId="647"/>
    <cellStyle name="Normal 50 3 2" xfId="648"/>
    <cellStyle name="Normal 50 3 3" xfId="649"/>
    <cellStyle name="Normal 50 3 4" xfId="650"/>
    <cellStyle name="Normal 50 4" xfId="651"/>
    <cellStyle name="Normal 50 5" xfId="652"/>
    <cellStyle name="Normal 50 6" xfId="653"/>
    <cellStyle name="Normal 50 7" xfId="654"/>
    <cellStyle name="Normal 51" xfId="655"/>
    <cellStyle name="Normal 51 2" xfId="1557"/>
    <cellStyle name="Normal 51 2 2" xfId="1558"/>
    <cellStyle name="Normal 51 3" xfId="1559"/>
    <cellStyle name="Normal 52" xfId="656"/>
    <cellStyle name="Normal 52 2" xfId="1560"/>
    <cellStyle name="Normal 52 2 2" xfId="1561"/>
    <cellStyle name="Normal 52 3" xfId="1562"/>
    <cellStyle name="Normal 53" xfId="657"/>
    <cellStyle name="Normal 53 2" xfId="1563"/>
    <cellStyle name="Normal 53 2 2" xfId="1564"/>
    <cellStyle name="Normal 53 3" xfId="1565"/>
    <cellStyle name="Normal 54" xfId="658"/>
    <cellStyle name="Normal 54 2" xfId="1566"/>
    <cellStyle name="Normal 54 2 2" xfId="1567"/>
    <cellStyle name="Normal 54 3" xfId="1568"/>
    <cellStyle name="Normal 55" xfId="659"/>
    <cellStyle name="Normal 55 10" xfId="1569"/>
    <cellStyle name="Normal 55 10 2" xfId="1570"/>
    <cellStyle name="Normal 55 10 2 2" xfId="1571"/>
    <cellStyle name="Normal 55 10 3" xfId="1572"/>
    <cellStyle name="Normal 55 100" xfId="1573"/>
    <cellStyle name="Normal 55 100 2" xfId="1574"/>
    <cellStyle name="Normal 55 101" xfId="1575"/>
    <cellStyle name="Normal 55 101 2" xfId="1576"/>
    <cellStyle name="Normal 55 102" xfId="1577"/>
    <cellStyle name="Normal 55 102 2" xfId="1578"/>
    <cellStyle name="Normal 55 103" xfId="1579"/>
    <cellStyle name="Normal 55 103 2" xfId="1580"/>
    <cellStyle name="Normal 55 104" xfId="1581"/>
    <cellStyle name="Normal 55 104 2" xfId="1582"/>
    <cellStyle name="Normal 55 105" xfId="1583"/>
    <cellStyle name="Normal 55 105 2" xfId="1584"/>
    <cellStyle name="Normal 55 106" xfId="1585"/>
    <cellStyle name="Normal 55 106 2" xfId="1586"/>
    <cellStyle name="Normal 55 107" xfId="1587"/>
    <cellStyle name="Normal 55 107 2" xfId="1588"/>
    <cellStyle name="Normal 55 108" xfId="1589"/>
    <cellStyle name="Normal 55 108 2" xfId="1590"/>
    <cellStyle name="Normal 55 109" xfId="1591"/>
    <cellStyle name="Normal 55 109 2" xfId="1592"/>
    <cellStyle name="Normal 55 11" xfId="1593"/>
    <cellStyle name="Normal 55 11 2" xfId="1594"/>
    <cellStyle name="Normal 55 11 2 2" xfId="1595"/>
    <cellStyle name="Normal 55 11 3" xfId="1596"/>
    <cellStyle name="Normal 55 110" xfId="1597"/>
    <cellStyle name="Normal 55 110 2" xfId="1598"/>
    <cellStyle name="Normal 55 111" xfId="1599"/>
    <cellStyle name="Normal 55 111 2" xfId="1600"/>
    <cellStyle name="Normal 55 112" xfId="1601"/>
    <cellStyle name="Normal 55 112 2" xfId="1602"/>
    <cellStyle name="Normal 55 113" xfId="1603"/>
    <cellStyle name="Normal 55 113 2" xfId="1604"/>
    <cellStyle name="Normal 55 114" xfId="1605"/>
    <cellStyle name="Normal 55 114 2" xfId="1606"/>
    <cellStyle name="Normal 55 115" xfId="1607"/>
    <cellStyle name="Normal 55 115 2" xfId="1608"/>
    <cellStyle name="Normal 55 116" xfId="1609"/>
    <cellStyle name="Normal 55 116 2" xfId="1610"/>
    <cellStyle name="Normal 55 117" xfId="1611"/>
    <cellStyle name="Normal 55 117 2" xfId="1612"/>
    <cellStyle name="Normal 55 118" xfId="1613"/>
    <cellStyle name="Normal 55 118 2" xfId="1614"/>
    <cellStyle name="Normal 55 119" xfId="1615"/>
    <cellStyle name="Normal 55 119 2" xfId="1616"/>
    <cellStyle name="Normal 55 12" xfId="1617"/>
    <cellStyle name="Normal 55 12 2" xfId="1618"/>
    <cellStyle name="Normal 55 12 2 2" xfId="1619"/>
    <cellStyle name="Normal 55 12 3" xfId="1620"/>
    <cellStyle name="Normal 55 120" xfId="1621"/>
    <cellStyle name="Normal 55 120 2" xfId="1622"/>
    <cellStyle name="Normal 55 121" xfId="1623"/>
    <cellStyle name="Normal 55 121 2" xfId="1624"/>
    <cellStyle name="Normal 55 122" xfId="1625"/>
    <cellStyle name="Normal 55 122 2" xfId="1626"/>
    <cellStyle name="Normal 55 123" xfId="1627"/>
    <cellStyle name="Normal 55 123 2" xfId="1628"/>
    <cellStyle name="Normal 55 124" xfId="1629"/>
    <cellStyle name="Normal 55 124 2" xfId="1630"/>
    <cellStyle name="Normal 55 125" xfId="1631"/>
    <cellStyle name="Normal 55 125 2" xfId="1632"/>
    <cellStyle name="Normal 55 126" xfId="1633"/>
    <cellStyle name="Normal 55 126 2" xfId="1634"/>
    <cellStyle name="Normal 55 127" xfId="1635"/>
    <cellStyle name="Normal 55 127 2" xfId="1636"/>
    <cellStyle name="Normal 55 128" xfId="1637"/>
    <cellStyle name="Normal 55 128 2" xfId="1638"/>
    <cellStyle name="Normal 55 129" xfId="1639"/>
    <cellStyle name="Normal 55 129 2" xfId="1640"/>
    <cellStyle name="Normal 55 13" xfId="1641"/>
    <cellStyle name="Normal 55 13 2" xfId="1642"/>
    <cellStyle name="Normal 55 13 2 2" xfId="1643"/>
    <cellStyle name="Normal 55 13 3" xfId="1644"/>
    <cellStyle name="Normal 55 130" xfId="1645"/>
    <cellStyle name="Normal 55 130 2" xfId="1646"/>
    <cellStyle name="Normal 55 131" xfId="1647"/>
    <cellStyle name="Normal 55 131 2" xfId="1648"/>
    <cellStyle name="Normal 55 132" xfId="1649"/>
    <cellStyle name="Normal 55 132 2" xfId="1650"/>
    <cellStyle name="Normal 55 133" xfId="1651"/>
    <cellStyle name="Normal 55 133 2" xfId="1652"/>
    <cellStyle name="Normal 55 134" xfId="1653"/>
    <cellStyle name="Normal 55 134 2" xfId="1654"/>
    <cellStyle name="Normal 55 135" xfId="1655"/>
    <cellStyle name="Normal 55 135 2" xfId="1656"/>
    <cellStyle name="Normal 55 136" xfId="1657"/>
    <cellStyle name="Normal 55 136 2" xfId="1658"/>
    <cellStyle name="Normal 55 137" xfId="1659"/>
    <cellStyle name="Normal 55 137 2" xfId="1660"/>
    <cellStyle name="Normal 55 138" xfId="1661"/>
    <cellStyle name="Normal 55 138 2" xfId="1662"/>
    <cellStyle name="Normal 55 139" xfId="1663"/>
    <cellStyle name="Normal 55 139 2" xfId="1664"/>
    <cellStyle name="Normal 55 14" xfId="1665"/>
    <cellStyle name="Normal 55 14 2" xfId="1666"/>
    <cellStyle name="Normal 55 14 2 2" xfId="1667"/>
    <cellStyle name="Normal 55 14 3" xfId="1668"/>
    <cellStyle name="Normal 55 140" xfId="1669"/>
    <cellStyle name="Normal 55 141" xfId="1670"/>
    <cellStyle name="Normal 55 142" xfId="1671"/>
    <cellStyle name="Normal 55 143" xfId="1672"/>
    <cellStyle name="Normal 55 144" xfId="1673"/>
    <cellStyle name="Normal 55 145" xfId="1674"/>
    <cellStyle name="Normal 55 146" xfId="1675"/>
    <cellStyle name="Normal 55 147" xfId="1676"/>
    <cellStyle name="Normal 55 148" xfId="1677"/>
    <cellStyle name="Normal 55 149" xfId="1678"/>
    <cellStyle name="Normal 55 15" xfId="1679"/>
    <cellStyle name="Normal 55 15 2" xfId="1680"/>
    <cellStyle name="Normal 55 15 2 2" xfId="1681"/>
    <cellStyle name="Normal 55 15 3" xfId="1682"/>
    <cellStyle name="Normal 55 150" xfId="1683"/>
    <cellStyle name="Normal 55 151" xfId="1684"/>
    <cellStyle name="Normal 55 152" xfId="1685"/>
    <cellStyle name="Normal 55 153" xfId="1686"/>
    <cellStyle name="Normal 55 154" xfId="1687"/>
    <cellStyle name="Normal 55 155" xfId="1688"/>
    <cellStyle name="Normal 55 156" xfId="1689"/>
    <cellStyle name="Normal 55 157" xfId="1690"/>
    <cellStyle name="Normal 55 158" xfId="1691"/>
    <cellStyle name="Normal 55 159" xfId="1692"/>
    <cellStyle name="Normal 55 16" xfId="1693"/>
    <cellStyle name="Normal 55 16 2" xfId="1694"/>
    <cellStyle name="Normal 55 16 2 2" xfId="1695"/>
    <cellStyle name="Normal 55 16 3" xfId="1696"/>
    <cellStyle name="Normal 55 160" xfId="1697"/>
    <cellStyle name="Normal 55 161" xfId="1698"/>
    <cellStyle name="Normal 55 162" xfId="1699"/>
    <cellStyle name="Normal 55 163" xfId="1700"/>
    <cellStyle name="Normal 55 164" xfId="1701"/>
    <cellStyle name="Normal 55 165" xfId="1702"/>
    <cellStyle name="Normal 55 166" xfId="1703"/>
    <cellStyle name="Normal 55 167" xfId="1704"/>
    <cellStyle name="Normal 55 168" xfId="1705"/>
    <cellStyle name="Normal 55 169" xfId="1706"/>
    <cellStyle name="Normal 55 17" xfId="1707"/>
    <cellStyle name="Normal 55 17 2" xfId="1708"/>
    <cellStyle name="Normal 55 17 2 2" xfId="1709"/>
    <cellStyle name="Normal 55 17 3" xfId="1710"/>
    <cellStyle name="Normal 55 170" xfId="1711"/>
    <cellStyle name="Normal 55 171" xfId="1712"/>
    <cellStyle name="Normal 55 172" xfId="1713"/>
    <cellStyle name="Normal 55 173" xfId="1714"/>
    <cellStyle name="Normal 55 174" xfId="1715"/>
    <cellStyle name="Normal 55 175" xfId="1716"/>
    <cellStyle name="Normal 55 176" xfId="1717"/>
    <cellStyle name="Normal 55 177" xfId="1718"/>
    <cellStyle name="Normal 55 178" xfId="1719"/>
    <cellStyle name="Normal 55 179" xfId="1720"/>
    <cellStyle name="Normal 55 18" xfId="1721"/>
    <cellStyle name="Normal 55 18 2" xfId="1722"/>
    <cellStyle name="Normal 55 18 2 2" xfId="1723"/>
    <cellStyle name="Normal 55 18 3" xfId="1724"/>
    <cellStyle name="Normal 55 180" xfId="1725"/>
    <cellStyle name="Normal 55 181" xfId="1726"/>
    <cellStyle name="Normal 55 182" xfId="1727"/>
    <cellStyle name="Normal 55 183" xfId="1728"/>
    <cellStyle name="Normal 55 184" xfId="1729"/>
    <cellStyle name="Normal 55 184 10" xfId="1730"/>
    <cellStyle name="Normal 55 184 11" xfId="1731"/>
    <cellStyle name="Normal 55 184 12" xfId="1732"/>
    <cellStyle name="Normal 55 184 13" xfId="1733"/>
    <cellStyle name="Normal 55 184 14" xfId="1734"/>
    <cellStyle name="Normal 55 184 15" xfId="1735"/>
    <cellStyle name="Normal 55 184 16" xfId="1736"/>
    <cellStyle name="Normal 55 184 17" xfId="1737"/>
    <cellStyle name="Normal 55 184 18" xfId="1738"/>
    <cellStyle name="Normal 55 184 2" xfId="1739"/>
    <cellStyle name="Normal 55 184 3" xfId="1740"/>
    <cellStyle name="Normal 55 184 4" xfId="1741"/>
    <cellStyle name="Normal 55 184 5" xfId="1742"/>
    <cellStyle name="Normal 55 184 53" xfId="1743"/>
    <cellStyle name="Normal 55 184 53 19" xfId="1744"/>
    <cellStyle name="Normal 55 184 53 19 2" xfId="1745"/>
    <cellStyle name="Normal 55 184 53 25" xfId="1746"/>
    <cellStyle name="Normal 55 184 6" xfId="1747"/>
    <cellStyle name="Normal 55 184 7" xfId="1748"/>
    <cellStyle name="Normal 55 184 8" xfId="1749"/>
    <cellStyle name="Normal 55 184 9" xfId="1750"/>
    <cellStyle name="Normal 55 185" xfId="1751"/>
    <cellStyle name="Normal 55 186" xfId="1752"/>
    <cellStyle name="Normal 55 187" xfId="1753"/>
    <cellStyle name="Normal 55 188" xfId="1754"/>
    <cellStyle name="Normal 55 189" xfId="1755"/>
    <cellStyle name="Normal 55 19" xfId="1756"/>
    <cellStyle name="Normal 55 19 2" xfId="1757"/>
    <cellStyle name="Normal 55 19 2 2" xfId="1758"/>
    <cellStyle name="Normal 55 19 3" xfId="1759"/>
    <cellStyle name="Normal 55 190" xfId="1760"/>
    <cellStyle name="Normal 55 191" xfId="1761"/>
    <cellStyle name="Normal 55 192" xfId="1762"/>
    <cellStyle name="Normal 55 193" xfId="1763"/>
    <cellStyle name="Normal 55 194" xfId="1764"/>
    <cellStyle name="Normal 55 195" xfId="1765"/>
    <cellStyle name="Normal 55 196" xfId="1766"/>
    <cellStyle name="Normal 55 197" xfId="1767"/>
    <cellStyle name="Normal 55 198" xfId="1768"/>
    <cellStyle name="Normal 55 199" xfId="1769"/>
    <cellStyle name="Normal 55 2" xfId="1770"/>
    <cellStyle name="Normal 55 2 2" xfId="1771"/>
    <cellStyle name="Normal 55 2 2 2" xfId="1772"/>
    <cellStyle name="Normal 55 2 3" xfId="1773"/>
    <cellStyle name="Normal 55 20" xfId="1774"/>
    <cellStyle name="Normal 55 20 2" xfId="1775"/>
    <cellStyle name="Normal 55 20 2 2" xfId="1776"/>
    <cellStyle name="Normal 55 20 3" xfId="1777"/>
    <cellStyle name="Normal 55 200" xfId="1778"/>
    <cellStyle name="Normal 55 201" xfId="1779"/>
    <cellStyle name="Normal 55 202" xfId="1780"/>
    <cellStyle name="Normal 55 21" xfId="1781"/>
    <cellStyle name="Normal 55 21 2" xfId="1782"/>
    <cellStyle name="Normal 55 21 2 2" xfId="1783"/>
    <cellStyle name="Normal 55 21 3" xfId="1784"/>
    <cellStyle name="Normal 55 22" xfId="1785"/>
    <cellStyle name="Normal 55 22 2" xfId="1786"/>
    <cellStyle name="Normal 55 22 2 2" xfId="1787"/>
    <cellStyle name="Normal 55 22 3" xfId="1788"/>
    <cellStyle name="Normal 55 23" xfId="1789"/>
    <cellStyle name="Normal 55 23 2" xfId="1790"/>
    <cellStyle name="Normal 55 23 2 2" xfId="1791"/>
    <cellStyle name="Normal 55 23 3" xfId="1792"/>
    <cellStyle name="Normal 55 24" xfId="1793"/>
    <cellStyle name="Normal 55 24 2" xfId="1794"/>
    <cellStyle name="Normal 55 24 2 2" xfId="1795"/>
    <cellStyle name="Normal 55 24 3" xfId="1796"/>
    <cellStyle name="Normal 55 25" xfId="1797"/>
    <cellStyle name="Normal 55 25 2" xfId="1798"/>
    <cellStyle name="Normal 55 25 2 2" xfId="1799"/>
    <cellStyle name="Normal 55 25 3" xfId="1800"/>
    <cellStyle name="Normal 55 26" xfId="1801"/>
    <cellStyle name="Normal 55 26 2" xfId="1802"/>
    <cellStyle name="Normal 55 26 2 2" xfId="1803"/>
    <cellStyle name="Normal 55 26 3" xfId="1804"/>
    <cellStyle name="Normal 55 27" xfId="1805"/>
    <cellStyle name="Normal 55 27 2" xfId="1806"/>
    <cellStyle name="Normal 55 27 2 2" xfId="1807"/>
    <cellStyle name="Normal 55 27 3" xfId="1808"/>
    <cellStyle name="Normal 55 28" xfId="1809"/>
    <cellStyle name="Normal 55 28 2" xfId="1810"/>
    <cellStyle name="Normal 55 28 2 2" xfId="1811"/>
    <cellStyle name="Normal 55 28 3" xfId="1812"/>
    <cellStyle name="Normal 55 29" xfId="1813"/>
    <cellStyle name="Normal 55 29 2" xfId="1814"/>
    <cellStyle name="Normal 55 29 2 2" xfId="1815"/>
    <cellStyle name="Normal 55 29 3" xfId="1816"/>
    <cellStyle name="Normal 55 3" xfId="1817"/>
    <cellStyle name="Normal 55 3 2" xfId="1818"/>
    <cellStyle name="Normal 55 3 2 2" xfId="1819"/>
    <cellStyle name="Normal 55 3 3" xfId="1820"/>
    <cellStyle name="Normal 55 30" xfId="1821"/>
    <cellStyle name="Normal 55 30 2" xfId="1822"/>
    <cellStyle name="Normal 55 30 2 2" xfId="1823"/>
    <cellStyle name="Normal 55 30 3" xfId="1824"/>
    <cellStyle name="Normal 55 31" xfId="1825"/>
    <cellStyle name="Normal 55 31 2" xfId="1826"/>
    <cellStyle name="Normal 55 31 2 2" xfId="1827"/>
    <cellStyle name="Normal 55 31 3" xfId="1828"/>
    <cellStyle name="Normal 55 32" xfId="1829"/>
    <cellStyle name="Normal 55 32 2" xfId="1830"/>
    <cellStyle name="Normal 55 32 2 2" xfId="1831"/>
    <cellStyle name="Normal 55 32 3" xfId="1832"/>
    <cellStyle name="Normal 55 33" xfId="1833"/>
    <cellStyle name="Normal 55 33 2" xfId="1834"/>
    <cellStyle name="Normal 55 33 2 2" xfId="1835"/>
    <cellStyle name="Normal 55 33 3" xfId="1836"/>
    <cellStyle name="Normal 55 34" xfId="1837"/>
    <cellStyle name="Normal 55 34 2" xfId="1838"/>
    <cellStyle name="Normal 55 34 2 2" xfId="1839"/>
    <cellStyle name="Normal 55 34 3" xfId="1840"/>
    <cellStyle name="Normal 55 35" xfId="1841"/>
    <cellStyle name="Normal 55 35 2" xfId="1842"/>
    <cellStyle name="Normal 55 35 2 2" xfId="1843"/>
    <cellStyle name="Normal 55 35 3" xfId="1844"/>
    <cellStyle name="Normal 55 36" xfId="1845"/>
    <cellStyle name="Normal 55 36 2" xfId="1846"/>
    <cellStyle name="Normal 55 36 2 2" xfId="1847"/>
    <cellStyle name="Normal 55 36 3" xfId="1848"/>
    <cellStyle name="Normal 55 37" xfId="1849"/>
    <cellStyle name="Normal 55 37 2" xfId="1850"/>
    <cellStyle name="Normal 55 37 2 2" xfId="1851"/>
    <cellStyle name="Normal 55 37 3" xfId="1852"/>
    <cellStyle name="Normal 55 38" xfId="1853"/>
    <cellStyle name="Normal 55 38 2" xfId="1854"/>
    <cellStyle name="Normal 55 38 2 2" xfId="1855"/>
    <cellStyle name="Normal 55 38 3" xfId="1856"/>
    <cellStyle name="Normal 55 39" xfId="1857"/>
    <cellStyle name="Normal 55 39 2" xfId="1858"/>
    <cellStyle name="Normal 55 39 2 2" xfId="1859"/>
    <cellStyle name="Normal 55 39 3" xfId="1860"/>
    <cellStyle name="Normal 55 4" xfId="1861"/>
    <cellStyle name="Normal 55 4 2" xfId="1862"/>
    <cellStyle name="Normal 55 4 2 2" xfId="1863"/>
    <cellStyle name="Normal 55 4 3" xfId="1864"/>
    <cellStyle name="Normal 55 40" xfId="1865"/>
    <cellStyle name="Normal 55 40 2" xfId="1866"/>
    <cellStyle name="Normal 55 40 2 2" xfId="1867"/>
    <cellStyle name="Normal 55 40 3" xfId="1868"/>
    <cellStyle name="Normal 55 41" xfId="1869"/>
    <cellStyle name="Normal 55 41 2" xfId="1870"/>
    <cellStyle name="Normal 55 41 2 2" xfId="1871"/>
    <cellStyle name="Normal 55 41 3" xfId="1872"/>
    <cellStyle name="Normal 55 42" xfId="1873"/>
    <cellStyle name="Normal 55 42 2" xfId="1874"/>
    <cellStyle name="Normal 55 42 2 2" xfId="1875"/>
    <cellStyle name="Normal 55 42 3" xfId="1876"/>
    <cellStyle name="Normal 55 43" xfId="1877"/>
    <cellStyle name="Normal 55 43 2" xfId="1878"/>
    <cellStyle name="Normal 55 43 2 2" xfId="1879"/>
    <cellStyle name="Normal 55 43 3" xfId="1880"/>
    <cellStyle name="Normal 55 44" xfId="1881"/>
    <cellStyle name="Normal 55 44 2" xfId="1882"/>
    <cellStyle name="Normal 55 44 2 2" xfId="1883"/>
    <cellStyle name="Normal 55 44 3" xfId="1884"/>
    <cellStyle name="Normal 55 45" xfId="1885"/>
    <cellStyle name="Normal 55 45 2" xfId="1886"/>
    <cellStyle name="Normal 55 45 2 2" xfId="1887"/>
    <cellStyle name="Normal 55 45 3" xfId="1888"/>
    <cellStyle name="Normal 55 46" xfId="1889"/>
    <cellStyle name="Normal 55 46 2" xfId="1890"/>
    <cellStyle name="Normal 55 46 2 2" xfId="1891"/>
    <cellStyle name="Normal 55 46 3" xfId="1892"/>
    <cellStyle name="Normal 55 47" xfId="1893"/>
    <cellStyle name="Normal 55 47 2" xfId="1894"/>
    <cellStyle name="Normal 55 47 2 2" xfId="1895"/>
    <cellStyle name="Normal 55 47 3" xfId="1896"/>
    <cellStyle name="Normal 55 48" xfId="1897"/>
    <cellStyle name="Normal 55 48 2" xfId="1898"/>
    <cellStyle name="Normal 55 48 2 2" xfId="1899"/>
    <cellStyle name="Normal 55 48 3" xfId="1900"/>
    <cellStyle name="Normal 55 49" xfId="1901"/>
    <cellStyle name="Normal 55 49 2" xfId="1902"/>
    <cellStyle name="Normal 55 49 2 2" xfId="1903"/>
    <cellStyle name="Normal 55 49 3" xfId="1904"/>
    <cellStyle name="Normal 55 5" xfId="1905"/>
    <cellStyle name="Normal 55 5 2" xfId="1906"/>
    <cellStyle name="Normal 55 5 2 2" xfId="1907"/>
    <cellStyle name="Normal 55 5 3" xfId="1908"/>
    <cellStyle name="Normal 55 50" xfId="1909"/>
    <cellStyle name="Normal 55 50 2" xfId="1910"/>
    <cellStyle name="Normal 55 50 2 2" xfId="1911"/>
    <cellStyle name="Normal 55 50 3" xfId="1912"/>
    <cellStyle name="Normal 55 51" xfId="1913"/>
    <cellStyle name="Normal 55 51 2" xfId="1914"/>
    <cellStyle name="Normal 55 51 2 2" xfId="1915"/>
    <cellStyle name="Normal 55 51 3" xfId="1916"/>
    <cellStyle name="Normal 55 52" xfId="1917"/>
    <cellStyle name="Normal 55 52 2" xfId="1918"/>
    <cellStyle name="Normal 55 52 2 2" xfId="1919"/>
    <cellStyle name="Normal 55 52 3" xfId="1920"/>
    <cellStyle name="Normal 55 53" xfId="1921"/>
    <cellStyle name="Normal 55 53 2" xfId="1922"/>
    <cellStyle name="Normal 55 53 2 2" xfId="1923"/>
    <cellStyle name="Normal 55 53 3" xfId="1924"/>
    <cellStyle name="Normal 55 54" xfId="1925"/>
    <cellStyle name="Normal 55 54 2" xfId="1926"/>
    <cellStyle name="Normal 55 54 2 2" xfId="1927"/>
    <cellStyle name="Normal 55 54 3" xfId="1928"/>
    <cellStyle name="Normal 55 55" xfId="1929"/>
    <cellStyle name="Normal 55 55 2" xfId="1930"/>
    <cellStyle name="Normal 55 55 2 2" xfId="1931"/>
    <cellStyle name="Normal 55 55 3" xfId="1932"/>
    <cellStyle name="Normal 55 56" xfId="1933"/>
    <cellStyle name="Normal 55 56 2" xfId="1934"/>
    <cellStyle name="Normal 55 56 2 2" xfId="1935"/>
    <cellStyle name="Normal 55 56 3" xfId="1936"/>
    <cellStyle name="Normal 55 57" xfId="1937"/>
    <cellStyle name="Normal 55 57 2" xfId="1938"/>
    <cellStyle name="Normal 55 57 2 2" xfId="1939"/>
    <cellStyle name="Normal 55 57 3" xfId="1940"/>
    <cellStyle name="Normal 55 58" xfId="1941"/>
    <cellStyle name="Normal 55 58 2" xfId="1942"/>
    <cellStyle name="Normal 55 58 2 2" xfId="1943"/>
    <cellStyle name="Normal 55 58 3" xfId="1944"/>
    <cellStyle name="Normal 55 59" xfId="1945"/>
    <cellStyle name="Normal 55 59 2" xfId="1946"/>
    <cellStyle name="Normal 55 59 2 2" xfId="1947"/>
    <cellStyle name="Normal 55 59 3" xfId="1948"/>
    <cellStyle name="Normal 55 6" xfId="1949"/>
    <cellStyle name="Normal 55 6 2" xfId="1950"/>
    <cellStyle name="Normal 55 6 2 2" xfId="1951"/>
    <cellStyle name="Normal 55 6 3" xfId="1952"/>
    <cellStyle name="Normal 55 60" xfId="1953"/>
    <cellStyle name="Normal 55 60 2" xfId="1954"/>
    <cellStyle name="Normal 55 60 2 2" xfId="1955"/>
    <cellStyle name="Normal 55 60 3" xfId="1956"/>
    <cellStyle name="Normal 55 61" xfId="1957"/>
    <cellStyle name="Normal 55 61 2" xfId="1958"/>
    <cellStyle name="Normal 55 61 2 2" xfId="1959"/>
    <cellStyle name="Normal 55 61 3" xfId="1960"/>
    <cellStyle name="Normal 55 62" xfId="1961"/>
    <cellStyle name="Normal 55 62 2" xfId="1962"/>
    <cellStyle name="Normal 55 62 2 2" xfId="1963"/>
    <cellStyle name="Normal 55 62 3" xfId="1964"/>
    <cellStyle name="Normal 55 63" xfId="1965"/>
    <cellStyle name="Normal 55 63 2" xfId="1966"/>
    <cellStyle name="Normal 55 63 2 2" xfId="1967"/>
    <cellStyle name="Normal 55 63 3" xfId="1968"/>
    <cellStyle name="Normal 55 64" xfId="1969"/>
    <cellStyle name="Normal 55 64 2" xfId="1970"/>
    <cellStyle name="Normal 55 64 2 2" xfId="1971"/>
    <cellStyle name="Normal 55 64 3" xfId="1972"/>
    <cellStyle name="Normal 55 65" xfId="1973"/>
    <cellStyle name="Normal 55 65 2" xfId="1974"/>
    <cellStyle name="Normal 55 65 2 2" xfId="1975"/>
    <cellStyle name="Normal 55 65 3" xfId="1976"/>
    <cellStyle name="Normal 55 66" xfId="1977"/>
    <cellStyle name="Normal 55 66 2" xfId="1978"/>
    <cellStyle name="Normal 55 66 2 2" xfId="1979"/>
    <cellStyle name="Normal 55 66 3" xfId="1980"/>
    <cellStyle name="Normal 55 67" xfId="1981"/>
    <cellStyle name="Normal 55 67 2" xfId="1982"/>
    <cellStyle name="Normal 55 67 2 2" xfId="1983"/>
    <cellStyle name="Normal 55 67 3" xfId="1984"/>
    <cellStyle name="Normal 55 68" xfId="1985"/>
    <cellStyle name="Normal 55 68 2" xfId="1986"/>
    <cellStyle name="Normal 55 68 2 2" xfId="1987"/>
    <cellStyle name="Normal 55 68 3" xfId="1988"/>
    <cellStyle name="Normal 55 69" xfId="1989"/>
    <cellStyle name="Normal 55 69 2" xfId="1990"/>
    <cellStyle name="Normal 55 69 2 2" xfId="1991"/>
    <cellStyle name="Normal 55 69 3" xfId="1992"/>
    <cellStyle name="Normal 55 7" xfId="1993"/>
    <cellStyle name="Normal 55 7 2" xfId="1994"/>
    <cellStyle name="Normal 55 7 2 2" xfId="1995"/>
    <cellStyle name="Normal 55 7 3" xfId="1996"/>
    <cellStyle name="Normal 55 70" xfId="1997"/>
    <cellStyle name="Normal 55 70 2" xfId="1998"/>
    <cellStyle name="Normal 55 70 2 2" xfId="1999"/>
    <cellStyle name="Normal 55 70 3" xfId="2000"/>
    <cellStyle name="Normal 55 71" xfId="2001"/>
    <cellStyle name="Normal 55 71 2" xfId="2002"/>
    <cellStyle name="Normal 55 71 2 2" xfId="2003"/>
    <cellStyle name="Normal 55 71 3" xfId="2004"/>
    <cellStyle name="Normal 55 72" xfId="2005"/>
    <cellStyle name="Normal 55 72 2" xfId="2006"/>
    <cellStyle name="Normal 55 72 2 2" xfId="2007"/>
    <cellStyle name="Normal 55 72 3" xfId="2008"/>
    <cellStyle name="Normal 55 73" xfId="2009"/>
    <cellStyle name="Normal 55 73 2" xfId="2010"/>
    <cellStyle name="Normal 55 73 2 2" xfId="2011"/>
    <cellStyle name="Normal 55 73 3" xfId="2012"/>
    <cellStyle name="Normal 55 74" xfId="2013"/>
    <cellStyle name="Normal 55 74 2" xfId="2014"/>
    <cellStyle name="Normal 55 74 2 2" xfId="2015"/>
    <cellStyle name="Normal 55 74 3" xfId="2016"/>
    <cellStyle name="Normal 55 75" xfId="2017"/>
    <cellStyle name="Normal 55 75 2" xfId="2018"/>
    <cellStyle name="Normal 55 75 2 2" xfId="2019"/>
    <cellStyle name="Normal 55 75 3" xfId="2020"/>
    <cellStyle name="Normal 55 76" xfId="2021"/>
    <cellStyle name="Normal 55 76 2" xfId="2022"/>
    <cellStyle name="Normal 55 76 2 2" xfId="2023"/>
    <cellStyle name="Normal 55 76 3" xfId="2024"/>
    <cellStyle name="Normal 55 77" xfId="2025"/>
    <cellStyle name="Normal 55 77 2" xfId="2026"/>
    <cellStyle name="Normal 55 77 2 2" xfId="2027"/>
    <cellStyle name="Normal 55 77 3" xfId="2028"/>
    <cellStyle name="Normal 55 78" xfId="2029"/>
    <cellStyle name="Normal 55 78 2" xfId="2030"/>
    <cellStyle name="Normal 55 78 2 2" xfId="2031"/>
    <cellStyle name="Normal 55 78 3" xfId="2032"/>
    <cellStyle name="Normal 55 79" xfId="2033"/>
    <cellStyle name="Normal 55 79 2" xfId="2034"/>
    <cellStyle name="Normal 55 79 2 2" xfId="2035"/>
    <cellStyle name="Normal 55 79 3" xfId="2036"/>
    <cellStyle name="Normal 55 8" xfId="2037"/>
    <cellStyle name="Normal 55 8 2" xfId="2038"/>
    <cellStyle name="Normal 55 8 2 2" xfId="2039"/>
    <cellStyle name="Normal 55 8 3" xfId="2040"/>
    <cellStyle name="Normal 55 80" xfId="2041"/>
    <cellStyle name="Normal 55 80 2" xfId="2042"/>
    <cellStyle name="Normal 55 80 2 2" xfId="2043"/>
    <cellStyle name="Normal 55 80 3" xfId="2044"/>
    <cellStyle name="Normal 55 81" xfId="2045"/>
    <cellStyle name="Normal 55 81 2" xfId="2046"/>
    <cellStyle name="Normal 55 81 2 2" xfId="2047"/>
    <cellStyle name="Normal 55 81 3" xfId="2048"/>
    <cellStyle name="Normal 55 82" xfId="2049"/>
    <cellStyle name="Normal 55 82 2" xfId="2050"/>
    <cellStyle name="Normal 55 82 2 2" xfId="2051"/>
    <cellStyle name="Normal 55 82 3" xfId="2052"/>
    <cellStyle name="Normal 55 83" xfId="2053"/>
    <cellStyle name="Normal 55 83 2" xfId="2054"/>
    <cellStyle name="Normal 55 83 2 2" xfId="2055"/>
    <cellStyle name="Normal 55 83 3" xfId="2056"/>
    <cellStyle name="Normal 55 84" xfId="2057"/>
    <cellStyle name="Normal 55 84 2" xfId="2058"/>
    <cellStyle name="Normal 55 84 2 2" xfId="2059"/>
    <cellStyle name="Normal 55 84 3" xfId="2060"/>
    <cellStyle name="Normal 55 85" xfId="2061"/>
    <cellStyle name="Normal 55 85 2" xfId="2062"/>
    <cellStyle name="Normal 55 85 2 2" xfId="2063"/>
    <cellStyle name="Normal 55 85 3" xfId="2064"/>
    <cellStyle name="Normal 55 86" xfId="2065"/>
    <cellStyle name="Normal 55 86 2" xfId="2066"/>
    <cellStyle name="Normal 55 86 2 2" xfId="2067"/>
    <cellStyle name="Normal 55 86 3" xfId="2068"/>
    <cellStyle name="Normal 55 87" xfId="2069"/>
    <cellStyle name="Normal 55 87 2" xfId="2070"/>
    <cellStyle name="Normal 55 87 2 2" xfId="2071"/>
    <cellStyle name="Normal 55 87 3" xfId="2072"/>
    <cellStyle name="Normal 55 88" xfId="2073"/>
    <cellStyle name="Normal 55 88 2" xfId="2074"/>
    <cellStyle name="Normal 55 88 2 2" xfId="2075"/>
    <cellStyle name="Normal 55 88 3" xfId="2076"/>
    <cellStyle name="Normal 55 89" xfId="2077"/>
    <cellStyle name="Normal 55 89 2" xfId="2078"/>
    <cellStyle name="Normal 55 89 2 2" xfId="2079"/>
    <cellStyle name="Normal 55 89 3" xfId="2080"/>
    <cellStyle name="Normal 55 9" xfId="2081"/>
    <cellStyle name="Normal 55 9 2" xfId="2082"/>
    <cellStyle name="Normal 55 9 2 2" xfId="2083"/>
    <cellStyle name="Normal 55 9 3" xfId="2084"/>
    <cellStyle name="Normal 55 90" xfId="2085"/>
    <cellStyle name="Normal 55 90 2" xfId="2086"/>
    <cellStyle name="Normal 55 90 2 2" xfId="2087"/>
    <cellStyle name="Normal 55 90 3" xfId="2088"/>
    <cellStyle name="Normal 55 91" xfId="2089"/>
    <cellStyle name="Normal 55 91 2" xfId="2090"/>
    <cellStyle name="Normal 55 91 2 2" xfId="2091"/>
    <cellStyle name="Normal 55 91 3" xfId="2092"/>
    <cellStyle name="Normal 55 92" xfId="2093"/>
    <cellStyle name="Normal 55 92 2" xfId="2094"/>
    <cellStyle name="Normal 55 92 2 2" xfId="2095"/>
    <cellStyle name="Normal 55 92 3" xfId="2096"/>
    <cellStyle name="Normal 55 93" xfId="2097"/>
    <cellStyle name="Normal 55 93 2" xfId="2098"/>
    <cellStyle name="Normal 55 93 2 2" xfId="2099"/>
    <cellStyle name="Normal 55 93 3" xfId="2100"/>
    <cellStyle name="Normal 55 94" xfId="2101"/>
    <cellStyle name="Normal 55 94 2" xfId="2102"/>
    <cellStyle name="Normal 55 94 2 2" xfId="2103"/>
    <cellStyle name="Normal 55 94 3" xfId="2104"/>
    <cellStyle name="Normal 55 95" xfId="2105"/>
    <cellStyle name="Normal 55 95 2" xfId="2106"/>
    <cellStyle name="Normal 55 95 2 2" xfId="2107"/>
    <cellStyle name="Normal 55 95 3" xfId="2108"/>
    <cellStyle name="Normal 55 96" xfId="2109"/>
    <cellStyle name="Normal 55 96 2" xfId="2110"/>
    <cellStyle name="Normal 55 96 2 2" xfId="2111"/>
    <cellStyle name="Normal 55 96 3" xfId="2112"/>
    <cellStyle name="Normal 55 97" xfId="2113"/>
    <cellStyle name="Normal 55 97 2" xfId="2114"/>
    <cellStyle name="Normal 55 98" xfId="2115"/>
    <cellStyle name="Normal 55 98 2" xfId="2116"/>
    <cellStyle name="Normal 55 99" xfId="2117"/>
    <cellStyle name="Normal 55 99 2" xfId="2118"/>
    <cellStyle name="Normal 56" xfId="660"/>
    <cellStyle name="Normal 56 2" xfId="2119"/>
    <cellStyle name="Normal 56 2 2" xfId="2120"/>
    <cellStyle name="Normal 56 2 2 2" xfId="2121"/>
    <cellStyle name="Normal 56 2 3" xfId="2122"/>
    <cellStyle name="Normal 56 3" xfId="2123"/>
    <cellStyle name="Normal 56 3 2" xfId="2124"/>
    <cellStyle name="Normal 56 4" xfId="2125"/>
    <cellStyle name="Normal 56 5" xfId="2126"/>
    <cellStyle name="Normal 56 6" xfId="2127"/>
    <cellStyle name="Normal 57" xfId="661"/>
    <cellStyle name="Normal 57 2" xfId="2128"/>
    <cellStyle name="Normal 58" xfId="662"/>
    <cellStyle name="Normal 58 2" xfId="1013"/>
    <cellStyle name="Normal 58 2 2" xfId="3862"/>
    <cellStyle name="Normal 58 2 2 2" xfId="3863"/>
    <cellStyle name="Normal 58 2 3" xfId="3864"/>
    <cellStyle name="Normal 58 3" xfId="3865"/>
    <cellStyle name="Normal 58 3 2" xfId="3866"/>
    <cellStyle name="Normal 58 4" xfId="3867"/>
    <cellStyle name="Normal 59" xfId="808"/>
    <cellStyle name="Normal 59 2" xfId="2129"/>
    <cellStyle name="Normal 6" xfId="5"/>
    <cellStyle name="Normal 6 2" xfId="115"/>
    <cellStyle name="Normal 6 2 10" xfId="3868"/>
    <cellStyle name="Normal 6 2 10 2" xfId="3869"/>
    <cellStyle name="Normal 6 2 11" xfId="3870"/>
    <cellStyle name="Normal 6 2 2" xfId="202"/>
    <cellStyle name="Normal 6 2 2 2" xfId="912"/>
    <cellStyle name="Normal 6 2 2 2 2" xfId="3871"/>
    <cellStyle name="Normal 6 2 2 2 2 2" xfId="3872"/>
    <cellStyle name="Normal 6 2 2 2 2 2 2" xfId="3873"/>
    <cellStyle name="Normal 6 2 2 2 2 2 2 2" xfId="3874"/>
    <cellStyle name="Normal 6 2 2 2 2 2 3" xfId="3875"/>
    <cellStyle name="Normal 6 2 2 2 2 3" xfId="3876"/>
    <cellStyle name="Normal 6 2 2 2 2 3 2" xfId="3877"/>
    <cellStyle name="Normal 6 2 2 2 2 4" xfId="3878"/>
    <cellStyle name="Normal 6 2 2 2 3" xfId="3879"/>
    <cellStyle name="Normal 6 2 2 2 3 2" xfId="3880"/>
    <cellStyle name="Normal 6 2 2 2 3 2 2" xfId="3881"/>
    <cellStyle name="Normal 6 2 2 2 3 3" xfId="3882"/>
    <cellStyle name="Normal 6 2 2 2 4" xfId="3883"/>
    <cellStyle name="Normal 6 2 2 2 4 2" xfId="3884"/>
    <cellStyle name="Normal 6 2 2 2 4 2 2" xfId="3885"/>
    <cellStyle name="Normal 6 2 2 2 4 3" xfId="3886"/>
    <cellStyle name="Normal 6 2 2 2 5" xfId="3887"/>
    <cellStyle name="Normal 6 2 2 2 5 2" xfId="3888"/>
    <cellStyle name="Normal 6 2 2 2 6" xfId="3889"/>
    <cellStyle name="Normal 6 2 2 3" xfId="2130"/>
    <cellStyle name="Normal 6 2 2 3 2" xfId="3890"/>
    <cellStyle name="Normal 6 2 2 3 2 2" xfId="3891"/>
    <cellStyle name="Normal 6 2 2 3 2 2 2" xfId="3892"/>
    <cellStyle name="Normal 6 2 2 3 2 3" xfId="3893"/>
    <cellStyle name="Normal 6 2 2 3 3" xfId="3894"/>
    <cellStyle name="Normal 6 2 2 3 3 2" xfId="3895"/>
    <cellStyle name="Normal 6 2 2 3 4" xfId="3896"/>
    <cellStyle name="Normal 6 2 2 4" xfId="2131"/>
    <cellStyle name="Normal 6 2 2 4 2" xfId="3897"/>
    <cellStyle name="Normal 6 2 2 4 2 2" xfId="3898"/>
    <cellStyle name="Normal 6 2 2 4 3" xfId="3899"/>
    <cellStyle name="Normal 6 2 2 5" xfId="3900"/>
    <cellStyle name="Normal 6 2 2 5 2" xfId="3901"/>
    <cellStyle name="Normal 6 2 2 5 2 2" xfId="3902"/>
    <cellStyle name="Normal 6 2 2 5 3" xfId="3903"/>
    <cellStyle name="Normal 6 2 2 6" xfId="3904"/>
    <cellStyle name="Normal 6 2 2 6 2" xfId="3905"/>
    <cellStyle name="Normal 6 2 2 7" xfId="3906"/>
    <cellStyle name="Normal 6 2 3" xfId="221"/>
    <cellStyle name="Normal 6 2 3 11" xfId="3907"/>
    <cellStyle name="Normal 6 2 3 11 2" xfId="3908"/>
    <cellStyle name="Normal 6 2 3 11 2 2" xfId="3909"/>
    <cellStyle name="Normal 6 2 3 11 2 2 2" xfId="3910"/>
    <cellStyle name="Normal 6 2 3 11 2 3" xfId="3911"/>
    <cellStyle name="Normal 6 2 3 11 3" xfId="3912"/>
    <cellStyle name="Normal 6 2 3 11 3 2" xfId="3913"/>
    <cellStyle name="Normal 6 2 3 11 4" xfId="3914"/>
    <cellStyle name="Normal 6 2 3 2" xfId="265"/>
    <cellStyle name="Normal 6 2 3 2 2" xfId="965"/>
    <cellStyle name="Normal 6 2 3 2 2 2" xfId="3915"/>
    <cellStyle name="Normal 6 2 3 2 2 2 2" xfId="3916"/>
    <cellStyle name="Normal 6 2 3 2 2 3" xfId="3917"/>
    <cellStyle name="Normal 6 2 3 2 3" xfId="3918"/>
    <cellStyle name="Normal 6 2 3 2 3 2" xfId="3919"/>
    <cellStyle name="Normal 6 2 3 2 3 2 2" xfId="3920"/>
    <cellStyle name="Normal 6 2 3 2 3 3" xfId="3921"/>
    <cellStyle name="Normal 6 2 3 2 4" xfId="3922"/>
    <cellStyle name="Normal 6 2 3 2 4 2" xfId="3923"/>
    <cellStyle name="Normal 6 2 3 2 4 2 2" xfId="3924"/>
    <cellStyle name="Normal 6 2 3 2 4 3" xfId="3925"/>
    <cellStyle name="Normal 6 2 3 2 5" xfId="3926"/>
    <cellStyle name="Normal 6 2 3 2 5 2" xfId="3927"/>
    <cellStyle name="Normal 6 2 3 2 6" xfId="3928"/>
    <cellStyle name="Normal 6 2 3 3" xfId="928"/>
    <cellStyle name="Normal 6 2 3 3 2" xfId="3929"/>
    <cellStyle name="Normal 6 2 3 3 2 2" xfId="3930"/>
    <cellStyle name="Normal 6 2 3 3 3" xfId="3931"/>
    <cellStyle name="Normal 6 2 3 4" xfId="2132"/>
    <cellStyle name="Normal 6 2 3 4 2" xfId="3932"/>
    <cellStyle name="Normal 6 2 3 4 2 2" xfId="3933"/>
    <cellStyle name="Normal 6 2 3 4 3" xfId="3934"/>
    <cellStyle name="Normal 6 2 3 5" xfId="3935"/>
    <cellStyle name="Normal 6 2 3 5 2" xfId="3936"/>
    <cellStyle name="Normal 6 2 3 5 2 2" xfId="3937"/>
    <cellStyle name="Normal 6 2 3 5 3" xfId="3938"/>
    <cellStyle name="Normal 6 2 3 6" xfId="3939"/>
    <cellStyle name="Normal 6 2 3 6 2" xfId="3940"/>
    <cellStyle name="Normal 6 2 3 7" xfId="3941"/>
    <cellStyle name="Normal 6 2 4" xfId="240"/>
    <cellStyle name="Normal 6 2 4 2" xfId="944"/>
    <cellStyle name="Normal 6 2 4 2 2" xfId="3942"/>
    <cellStyle name="Normal 6 2 4 2 2 2" xfId="3943"/>
    <cellStyle name="Normal 6 2 4 2 3" xfId="3944"/>
    <cellStyle name="Normal 6 2 4 3" xfId="2133"/>
    <cellStyle name="Normal 6 2 4 3 2" xfId="3945"/>
    <cellStyle name="Normal 6 2 4 3 2 2" xfId="3946"/>
    <cellStyle name="Normal 6 2 4 3 3" xfId="3947"/>
    <cellStyle name="Normal 6 2 4 4" xfId="2134"/>
    <cellStyle name="Normal 6 2 5" xfId="175"/>
    <cellStyle name="Normal 6 2 5 2" xfId="889"/>
    <cellStyle name="Normal 6 2 5 2 2" xfId="3948"/>
    <cellStyle name="Normal 6 2 5 2 2 2" xfId="3949"/>
    <cellStyle name="Normal 6 2 5 2 3" xfId="3950"/>
    <cellStyle name="Normal 6 2 5 3" xfId="2135"/>
    <cellStyle name="Normal 6 2 5 3 2" xfId="3951"/>
    <cellStyle name="Normal 6 2 5 3 2 2" xfId="3952"/>
    <cellStyle name="Normal 6 2 5 3 3" xfId="3953"/>
    <cellStyle name="Normal 6 2 5 4" xfId="2136"/>
    <cellStyle name="Normal 6 2 6" xfId="263"/>
    <cellStyle name="Normal 6 2 6 2" xfId="964"/>
    <cellStyle name="Normal 6 2 6 2 2" xfId="3954"/>
    <cellStyle name="Normal 6 2 6 2 2 2" xfId="3955"/>
    <cellStyle name="Normal 6 2 6 2 3" xfId="3956"/>
    <cellStyle name="Normal 6 2 6 3" xfId="3957"/>
    <cellStyle name="Normal 6 2 6 3 2" xfId="3958"/>
    <cellStyle name="Normal 6 2 6 3 2 2" xfId="3959"/>
    <cellStyle name="Normal 6 2 6 3 3" xfId="3960"/>
    <cellStyle name="Normal 6 2 6 4" xfId="3961"/>
    <cellStyle name="Normal 6 2 6 4 2" xfId="3962"/>
    <cellStyle name="Normal 6 2 6 4 2 2" xfId="3963"/>
    <cellStyle name="Normal 6 2 6 4 3" xfId="3964"/>
    <cellStyle name="Normal 6 2 6 5" xfId="3965"/>
    <cellStyle name="Normal 6 2 6 5 2" xfId="3966"/>
    <cellStyle name="Normal 6 2 6 6" xfId="3967"/>
    <cellStyle name="Normal 6 2 7" xfId="837"/>
    <cellStyle name="Normal 6 2 7 2" xfId="3968"/>
    <cellStyle name="Normal 6 2 7 2 2" xfId="3969"/>
    <cellStyle name="Normal 6 2 7 3" xfId="3970"/>
    <cellStyle name="Normal 6 2 8" xfId="3971"/>
    <cellStyle name="Normal 6 2 8 2" xfId="3972"/>
    <cellStyle name="Normal 6 2 8 2 2" xfId="3973"/>
    <cellStyle name="Normal 6 2 8 3" xfId="3974"/>
    <cellStyle name="Normal 6 2 9" xfId="3975"/>
    <cellStyle name="Normal 6 2 9 2" xfId="3976"/>
    <cellStyle name="Normal 6 2 9 2 2" xfId="3977"/>
    <cellStyle name="Normal 6 2 9 3" xfId="3978"/>
    <cellStyle name="Normal 6 3" xfId="246"/>
    <cellStyle name="Normal 6 3 2" xfId="663"/>
    <cellStyle name="Normal 6 3 3" xfId="950"/>
    <cellStyle name="Normal 6 3 3 2" xfId="3979"/>
    <cellStyle name="Normal 6 3 3 2 2" xfId="3980"/>
    <cellStyle name="Normal 6 3 3 3" xfId="3981"/>
    <cellStyle name="Normal 6 3 4" xfId="2137"/>
    <cellStyle name="Normal 6 3 4 2" xfId="3982"/>
    <cellStyle name="Normal 6 3 4 2 2" xfId="3983"/>
    <cellStyle name="Normal 6 3 4 3" xfId="3984"/>
    <cellStyle name="Normal 6 4" xfId="257"/>
    <cellStyle name="Normal 6 4 2" xfId="960"/>
    <cellStyle name="Normal 6 4 2 2" xfId="3985"/>
    <cellStyle name="Normal 6 4 2 2 2" xfId="3986"/>
    <cellStyle name="Normal 6 4 2 3" xfId="3987"/>
    <cellStyle name="Normal 6 4 3" xfId="3988"/>
    <cellStyle name="Normal 6 4 3 2" xfId="3989"/>
    <cellStyle name="Normal 6 4 3 2 2" xfId="3990"/>
    <cellStyle name="Normal 6 4 3 3" xfId="3991"/>
    <cellStyle name="Normal 6 5" xfId="2138"/>
    <cellStyle name="Normal 6 5 2" xfId="3992"/>
    <cellStyle name="Normal 6 5 2 2" xfId="3993"/>
    <cellStyle name="Normal 6 5 2 2 2" xfId="3994"/>
    <cellStyle name="Normal 6 5 2 3" xfId="3995"/>
    <cellStyle name="Normal 6 5 3" xfId="3996"/>
    <cellStyle name="Normal 6 5 3 2" xfId="3997"/>
    <cellStyle name="Normal 6 5 4" xfId="3998"/>
    <cellStyle name="Normal 6 6" xfId="3999"/>
    <cellStyle name="Normal 6_AP_Reate_GL" xfId="664"/>
    <cellStyle name="Normal 60" xfId="1041"/>
    <cellStyle name="Normal 60 2" xfId="2139"/>
    <cellStyle name="Normal 61" xfId="2140"/>
    <cellStyle name="Normal 61 2" xfId="2141"/>
    <cellStyle name="Normal 61 2 2" xfId="2142"/>
    <cellStyle name="Normal 61 2 2 2" xfId="2143"/>
    <cellStyle name="Normal 61 2 3" xfId="2144"/>
    <cellStyle name="Normal 61 3" xfId="2145"/>
    <cellStyle name="Normal 61 3 2" xfId="2146"/>
    <cellStyle name="Normal 61 4" xfId="2147"/>
    <cellStyle name="Normal 61 5" xfId="2148"/>
    <cellStyle name="Normal 61 6" xfId="2149"/>
    <cellStyle name="Normal 61 7" xfId="2150"/>
    <cellStyle name="Normal 61 7 2" xfId="2151"/>
    <cellStyle name="Normal 61 7 2 2" xfId="2152"/>
    <cellStyle name="Normal 61 7 2 2 2" xfId="2153"/>
    <cellStyle name="Normal 62" xfId="2154"/>
    <cellStyle name="Normal 62 2" xfId="4000"/>
    <cellStyle name="Normal 62 2 2" xfId="4001"/>
    <cellStyle name="Normal 62 3" xfId="4002"/>
    <cellStyle name="Normal 63" xfId="2155"/>
    <cellStyle name="Normal 64" xfId="2156"/>
    <cellStyle name="Normal 65" xfId="2157"/>
    <cellStyle name="Normal 65 2" xfId="4003"/>
    <cellStyle name="Normal 66" xfId="2158"/>
    <cellStyle name="Normal 66 2" xfId="4004"/>
    <cellStyle name="Normal 67" xfId="2159"/>
    <cellStyle name="Normal 67 2" xfId="4005"/>
    <cellStyle name="Normal 68" xfId="2160"/>
    <cellStyle name="Normal 69" xfId="2161"/>
    <cellStyle name="Normal 7" xfId="97"/>
    <cellStyle name="Normal 7 10" xfId="4006"/>
    <cellStyle name="Normal 7 10 2" xfId="4007"/>
    <cellStyle name="Normal 7 11" xfId="4008"/>
    <cellStyle name="Normal 7 2" xfId="203"/>
    <cellStyle name="Normal 7 2 2" xfId="665"/>
    <cellStyle name="Normal 7 2 2 2" xfId="1014"/>
    <cellStyle name="Normal 7 2 2 2 2" xfId="4009"/>
    <cellStyle name="Normal 7 2 2 2 2 2" xfId="4010"/>
    <cellStyle name="Normal 7 2 2 2 2 2 2" xfId="4011"/>
    <cellStyle name="Normal 7 2 2 2 2 2 2 2" xfId="4012"/>
    <cellStyle name="Normal 7 2 2 2 2 2 3" xfId="4013"/>
    <cellStyle name="Normal 7 2 2 2 2 3" xfId="4014"/>
    <cellStyle name="Normal 7 2 2 2 2 3 2" xfId="4015"/>
    <cellStyle name="Normal 7 2 2 2 2 4" xfId="4016"/>
    <cellStyle name="Normal 7 2 2 2 3" xfId="4017"/>
    <cellStyle name="Normal 7 2 2 2 3 2" xfId="4018"/>
    <cellStyle name="Normal 7 2 2 2 3 2 2" xfId="4019"/>
    <cellStyle name="Normal 7 2 2 2 3 3" xfId="4020"/>
    <cellStyle name="Normal 7 2 2 2 4" xfId="4021"/>
    <cellStyle name="Normal 7 2 2 2 4 2" xfId="4022"/>
    <cellStyle name="Normal 7 2 2 2 4 2 2" xfId="4023"/>
    <cellStyle name="Normal 7 2 2 2 4 3" xfId="4024"/>
    <cellStyle name="Normal 7 2 2 2 5" xfId="4025"/>
    <cellStyle name="Normal 7 2 2 2 5 2" xfId="4026"/>
    <cellStyle name="Normal 7 2 2 2 6" xfId="4027"/>
    <cellStyle name="Normal 7 2 2 2 9" xfId="4028"/>
    <cellStyle name="Normal 7 2 2 2 9 2" xfId="4029"/>
    <cellStyle name="Normal 7 2 2 2 9 2 2" xfId="4030"/>
    <cellStyle name="Normal 7 2 2 2 9 2 2 2" xfId="4031"/>
    <cellStyle name="Normal 7 2 2 2 9 2 3" xfId="4032"/>
    <cellStyle name="Normal 7 2 2 2 9 3" xfId="4033"/>
    <cellStyle name="Normal 7 2 2 2 9 3 2" xfId="4034"/>
    <cellStyle name="Normal 7 2 2 2 9 4" xfId="4035"/>
    <cellStyle name="Normal 7 2 2 3" xfId="4036"/>
    <cellStyle name="Normal 7 2 2 3 2" xfId="4037"/>
    <cellStyle name="Normal 7 2 2 3 2 2" xfId="4038"/>
    <cellStyle name="Normal 7 2 2 3 2 2 2" xfId="4039"/>
    <cellStyle name="Normal 7 2 2 3 2 3" xfId="4040"/>
    <cellStyle name="Normal 7 2 2 3 3" xfId="4041"/>
    <cellStyle name="Normal 7 2 2 3 3 2" xfId="4042"/>
    <cellStyle name="Normal 7 2 2 3 4" xfId="4043"/>
    <cellStyle name="Normal 7 2 2 4" xfId="4044"/>
    <cellStyle name="Normal 7 2 2 4 2" xfId="4045"/>
    <cellStyle name="Normal 7 2 2 4 2 2" xfId="4046"/>
    <cellStyle name="Normal 7 2 2 4 3" xfId="4047"/>
    <cellStyle name="Normal 7 2 2 5" xfId="4048"/>
    <cellStyle name="Normal 7 2 2 5 2" xfId="4049"/>
    <cellStyle name="Normal 7 2 2 5 2 2" xfId="4050"/>
    <cellStyle name="Normal 7 2 2 5 3" xfId="4051"/>
    <cellStyle name="Normal 7 2 2 6" xfId="4052"/>
    <cellStyle name="Normal 7 2 2 6 2" xfId="4053"/>
    <cellStyle name="Normal 7 2 2 7" xfId="4054"/>
    <cellStyle name="Normal 7 2 3" xfId="666"/>
    <cellStyle name="Normal 7 2 3 2" xfId="1015"/>
    <cellStyle name="Normal 7 2 3 2 2" xfId="4055"/>
    <cellStyle name="Normal 7 2 3 2 2 2" xfId="4056"/>
    <cellStyle name="Normal 7 2 3 2 3" xfId="4057"/>
    <cellStyle name="Normal 7 2 3 3" xfId="4058"/>
    <cellStyle name="Normal 7 2 3 3 2" xfId="4059"/>
    <cellStyle name="Normal 7 2 3 3 2 2" xfId="4060"/>
    <cellStyle name="Normal 7 2 3 3 3" xfId="4061"/>
    <cellStyle name="Normal 7 2 3 4" xfId="4062"/>
    <cellStyle name="Normal 7 2 3 4 2" xfId="4063"/>
    <cellStyle name="Normal 7 2 3 4 2 2" xfId="4064"/>
    <cellStyle name="Normal 7 2 3 4 3" xfId="4065"/>
    <cellStyle name="Normal 7 2 3 5" xfId="4066"/>
    <cellStyle name="Normal 7 2 3 5 2" xfId="4067"/>
    <cellStyle name="Normal 7 2 3 6" xfId="4068"/>
    <cellStyle name="Normal 7 2 4" xfId="913"/>
    <cellStyle name="Normal 7 2 4 2" xfId="4069"/>
    <cellStyle name="Normal 7 2 4 2 2" xfId="4070"/>
    <cellStyle name="Normal 7 2 4 3" xfId="4071"/>
    <cellStyle name="Normal 7 2 5" xfId="4072"/>
    <cellStyle name="Normal 7 2 5 2" xfId="4073"/>
    <cellStyle name="Normal 7 2 5 2 2" xfId="4074"/>
    <cellStyle name="Normal 7 2 5 3" xfId="4075"/>
    <cellStyle name="Normal 7 2 6" xfId="4076"/>
    <cellStyle name="Normal 7 2 6 2" xfId="4077"/>
    <cellStyle name="Normal 7 2 6 2 2" xfId="4078"/>
    <cellStyle name="Normal 7 2 6 3" xfId="4079"/>
    <cellStyle name="Normal 7 2 7" xfId="4080"/>
    <cellStyle name="Normal 7 2 7 2" xfId="4081"/>
    <cellStyle name="Normal 7 2 8" xfId="4082"/>
    <cellStyle name="Normal 7 3" xfId="222"/>
    <cellStyle name="Normal 7 3 2" xfId="929"/>
    <cellStyle name="Normal 7 3 2 2" xfId="4083"/>
    <cellStyle name="Normal 7 3 2 2 2" xfId="4084"/>
    <cellStyle name="Normal 7 3 2 3" xfId="4085"/>
    <cellStyle name="Normal 7 3 3" xfId="2162"/>
    <cellStyle name="Normal 7 3 3 2" xfId="4086"/>
    <cellStyle name="Normal 7 3 3 2 2" xfId="4087"/>
    <cellStyle name="Normal 7 3 3 3" xfId="4088"/>
    <cellStyle name="Normal 7 3 4" xfId="2163"/>
    <cellStyle name="Normal 7 4" xfId="241"/>
    <cellStyle name="Normal 7 4 2" xfId="945"/>
    <cellStyle name="Normal 7 4 2 2" xfId="4089"/>
    <cellStyle name="Normal 7 4 2 2 2" xfId="4090"/>
    <cellStyle name="Normal 7 4 2 3" xfId="4091"/>
    <cellStyle name="Normal 7 4 3" xfId="2164"/>
    <cellStyle name="Normal 7 4 3 2" xfId="4092"/>
    <cellStyle name="Normal 7 4 3 2 2" xfId="4093"/>
    <cellStyle name="Normal 7 4 3 3" xfId="4094"/>
    <cellStyle name="Normal 7 4 4" xfId="2165"/>
    <cellStyle name="Normal 7 5" xfId="244"/>
    <cellStyle name="Normal 7 5 2" xfId="948"/>
    <cellStyle name="Normal 7 5 2 2" xfId="4095"/>
    <cellStyle name="Normal 7 5 2 2 2" xfId="4096"/>
    <cellStyle name="Normal 7 5 2 3" xfId="4097"/>
    <cellStyle name="Normal 7 5 3" xfId="2166"/>
    <cellStyle name="Normal 7 5 3 2" xfId="4098"/>
    <cellStyle name="Normal 7 5 3 2 2" xfId="4099"/>
    <cellStyle name="Normal 7 5 3 3" xfId="4100"/>
    <cellStyle name="Normal 7 5 4" xfId="2167"/>
    <cellStyle name="Normal 7 5 4 2" xfId="4101"/>
    <cellStyle name="Normal 7 5 4 2 2" xfId="4102"/>
    <cellStyle name="Normal 7 5 4 3" xfId="4103"/>
    <cellStyle name="Normal 7 5 5" xfId="4104"/>
    <cellStyle name="Normal 7 5 5 2" xfId="4105"/>
    <cellStyle name="Normal 7 5 6" xfId="4106"/>
    <cellStyle name="Normal 7 6" xfId="260"/>
    <cellStyle name="Normal 7 6 2" xfId="962"/>
    <cellStyle name="Normal 7 6 2 2" xfId="4107"/>
    <cellStyle name="Normal 7 6 2 2 2" xfId="4108"/>
    <cellStyle name="Normal 7 6 2 3" xfId="4109"/>
    <cellStyle name="Normal 7 6 3" xfId="4110"/>
    <cellStyle name="Normal 7 6 3 2" xfId="4111"/>
    <cellStyle name="Normal 7 6 3 2 2" xfId="4112"/>
    <cellStyle name="Normal 7 6 3 3" xfId="4113"/>
    <cellStyle name="Normal 7 6 4" xfId="4114"/>
    <cellStyle name="Normal 7 6 4 2" xfId="4115"/>
    <cellStyle name="Normal 7 6 4 2 2" xfId="4116"/>
    <cellStyle name="Normal 7 6 4 3" xfId="4117"/>
    <cellStyle name="Normal 7 6 5" xfId="4118"/>
    <cellStyle name="Normal 7 6 5 2" xfId="4119"/>
    <cellStyle name="Normal 7 6 6" xfId="4120"/>
    <cellStyle name="Normal 7 7" xfId="820"/>
    <cellStyle name="Normal 7 7 2" xfId="4121"/>
    <cellStyle name="Normal 7 7 2 2" xfId="4122"/>
    <cellStyle name="Normal 7 7 3" xfId="4123"/>
    <cellStyle name="Normal 7 8" xfId="4124"/>
    <cellStyle name="Normal 7 8 2" xfId="4125"/>
    <cellStyle name="Normal 7 8 2 2" xfId="4126"/>
    <cellStyle name="Normal 7 8 3" xfId="4127"/>
    <cellStyle name="Normal 7 9" xfId="4128"/>
    <cellStyle name="Normal 7 9 2" xfId="4129"/>
    <cellStyle name="Normal 7 9 2 2" xfId="4130"/>
    <cellStyle name="Normal 7 9 3" xfId="4131"/>
    <cellStyle name="Normal 70" xfId="2168"/>
    <cellStyle name="Normal 71" xfId="2169"/>
    <cellStyle name="Normal 72" xfId="2170"/>
    <cellStyle name="Normal 73" xfId="2171"/>
    <cellStyle name="Normal 74" xfId="2172"/>
    <cellStyle name="Normal 75" xfId="2173"/>
    <cellStyle name="Normal 76" xfId="2174"/>
    <cellStyle name="Normal 77" xfId="2175"/>
    <cellStyle name="Normal 78" xfId="2176"/>
    <cellStyle name="Normal 79" xfId="2177"/>
    <cellStyle name="Normal 8" xfId="90"/>
    <cellStyle name="Normal 8 2" xfId="242"/>
    <cellStyle name="Normal 8 2 2" xfId="667"/>
    <cellStyle name="Normal 8 2 2 2" xfId="1016"/>
    <cellStyle name="Normal 8 2 2 2 2" xfId="4132"/>
    <cellStyle name="Normal 8 2 2 2 2 2" xfId="4133"/>
    <cellStyle name="Normal 8 2 2 2 3" xfId="4134"/>
    <cellStyle name="Normal 8 2 2 3" xfId="4135"/>
    <cellStyle name="Normal 8 2 2 3 2" xfId="4136"/>
    <cellStyle name="Normal 8 2 2 4" xfId="4137"/>
    <cellStyle name="Normal 8 2 3" xfId="946"/>
    <cellStyle name="Normal 8 2 3 2" xfId="4138"/>
    <cellStyle name="Normal 8 2 3 2 2" xfId="4139"/>
    <cellStyle name="Normal 8 2 3 3" xfId="4140"/>
    <cellStyle name="Normal 8 2 4" xfId="2178"/>
    <cellStyle name="Normal 8 2 4 2" xfId="4141"/>
    <cellStyle name="Normal 8 2 4 2 2" xfId="4142"/>
    <cellStyle name="Normal 8 2 4 3" xfId="4143"/>
    <cellStyle name="Normal 8 2 5" xfId="4144"/>
    <cellStyle name="Normal 8 2 5 2" xfId="4145"/>
    <cellStyle name="Normal 8 2 6" xfId="4146"/>
    <cellStyle name="Normal 8 3" xfId="668"/>
    <cellStyle name="Normal 8 3 2" xfId="669"/>
    <cellStyle name="Normal 8 3 2 2" xfId="1018"/>
    <cellStyle name="Normal 8 3 2 2 2" xfId="4147"/>
    <cellStyle name="Normal 8 3 2 2 2 2" xfId="4148"/>
    <cellStyle name="Normal 8 3 2 2 3" xfId="4149"/>
    <cellStyle name="Normal 8 3 2 3" xfId="4150"/>
    <cellStyle name="Normal 8 3 2 3 2" xfId="4151"/>
    <cellStyle name="Normal 8 3 2 4" xfId="4152"/>
    <cellStyle name="Normal 8 3 3" xfId="1017"/>
    <cellStyle name="Normal 8 3 3 2" xfId="4153"/>
    <cellStyle name="Normal 8 3 3 2 2" xfId="4154"/>
    <cellStyle name="Normal 8 3 3 3" xfId="4155"/>
    <cellStyle name="Normal 8 3 4" xfId="4156"/>
    <cellStyle name="Normal 8 3 4 2" xfId="4157"/>
    <cellStyle name="Normal 8 3 5" xfId="4158"/>
    <cellStyle name="Normal 8 4" xfId="670"/>
    <cellStyle name="Normal 8 4 2" xfId="671"/>
    <cellStyle name="Normal 8 4 2 2" xfId="672"/>
    <cellStyle name="Normal 8 4 2 2 2" xfId="673"/>
    <cellStyle name="Normal 8 4 2 2 2 2" xfId="674"/>
    <cellStyle name="Normal 8 4 2 2 2 2 2" xfId="1023"/>
    <cellStyle name="Normal 8 4 2 2 2 2 2 2" xfId="4159"/>
    <cellStyle name="Normal 8 4 2 2 2 2 2 2 2" xfId="4160"/>
    <cellStyle name="Normal 8 4 2 2 2 2 2 3" xfId="4161"/>
    <cellStyle name="Normal 8 4 2 2 2 2 3" xfId="4162"/>
    <cellStyle name="Normal 8 4 2 2 2 2 3 2" xfId="4163"/>
    <cellStyle name="Normal 8 4 2 2 2 2 4" xfId="4164"/>
    <cellStyle name="Normal 8 4 2 2 2 3" xfId="1022"/>
    <cellStyle name="Normal 8 4 2 2 2 3 2" xfId="4165"/>
    <cellStyle name="Normal 8 4 2 2 2 3 2 2" xfId="4166"/>
    <cellStyle name="Normal 8 4 2 2 2 3 3" xfId="4167"/>
    <cellStyle name="Normal 8 4 2 2 2 4" xfId="4168"/>
    <cellStyle name="Normal 8 4 2 2 2 4 2" xfId="4169"/>
    <cellStyle name="Normal 8 4 2 2 2 5" xfId="4170"/>
    <cellStyle name="Normal 8 4 2 2 3" xfId="1021"/>
    <cellStyle name="Normal 8 4 2 2 3 2" xfId="4171"/>
    <cellStyle name="Normal 8 4 2 2 3 2 2" xfId="4172"/>
    <cellStyle name="Normal 8 4 2 2 3 3" xfId="4173"/>
    <cellStyle name="Normal 8 4 2 2 4" xfId="4174"/>
    <cellStyle name="Normal 8 4 2 2 4 2" xfId="4175"/>
    <cellStyle name="Normal 8 4 2 2 5" xfId="4176"/>
    <cellStyle name="Normal 8 4 2 3" xfId="1020"/>
    <cellStyle name="Normal 8 4 2 3 2" xfId="4177"/>
    <cellStyle name="Normal 8 4 2 3 2 2" xfId="4178"/>
    <cellStyle name="Normal 8 4 2 3 3" xfId="4179"/>
    <cellStyle name="Normal 8 4 2 4" xfId="4180"/>
    <cellStyle name="Normal 8 4 2 4 2" xfId="4181"/>
    <cellStyle name="Normal 8 4 2 5" xfId="4182"/>
    <cellStyle name="Normal 8 4 3" xfId="1019"/>
    <cellStyle name="Normal 8 4 3 2" xfId="4183"/>
    <cellStyle name="Normal 8 4 3 2 2" xfId="4184"/>
    <cellStyle name="Normal 8 4 3 3" xfId="4185"/>
    <cellStyle name="Normal 8 4 4" xfId="4186"/>
    <cellStyle name="Normal 8 4 4 2" xfId="4187"/>
    <cellStyle name="Normal 8 4 5" xfId="4188"/>
    <cellStyle name="Normal 8 5" xfId="675"/>
    <cellStyle name="Normal 8 5 2" xfId="676"/>
    <cellStyle name="Normal 8 5 2 2" xfId="1025"/>
    <cellStyle name="Normal 8 5 2 2 2" xfId="4189"/>
    <cellStyle name="Normal 8 5 2 2 2 2" xfId="4190"/>
    <cellStyle name="Normal 8 5 2 2 3" xfId="4191"/>
    <cellStyle name="Normal 8 5 2 3" xfId="4192"/>
    <cellStyle name="Normal 8 5 2 3 2" xfId="4193"/>
    <cellStyle name="Normal 8 5 2 4" xfId="4194"/>
    <cellStyle name="Normal 8 5 3" xfId="1024"/>
    <cellStyle name="Normal 8 5 3 2" xfId="4195"/>
    <cellStyle name="Normal 8 5 3 2 2" xfId="4196"/>
    <cellStyle name="Normal 8 5 3 3" xfId="4197"/>
    <cellStyle name="Normal 8 5 4" xfId="4198"/>
    <cellStyle name="Normal 8 5 4 2" xfId="4199"/>
    <cellStyle name="Normal 8 5 5" xfId="4200"/>
    <cellStyle name="Normal 8 6" xfId="677"/>
    <cellStyle name="Normal 8 6 2" xfId="678"/>
    <cellStyle name="Normal 8 6 2 2" xfId="1027"/>
    <cellStyle name="Normal 8 6 2 2 2" xfId="4201"/>
    <cellStyle name="Normal 8 6 2 2 2 2" xfId="4202"/>
    <cellStyle name="Normal 8 6 2 2 3" xfId="4203"/>
    <cellStyle name="Normal 8 6 2 3" xfId="4204"/>
    <cellStyle name="Normal 8 6 2 3 2" xfId="4205"/>
    <cellStyle name="Normal 8 6 2 4" xfId="4206"/>
    <cellStyle name="Normal 8 6 3" xfId="1026"/>
    <cellStyle name="Normal 8 6 3 2" xfId="4207"/>
    <cellStyle name="Normal 8 6 3 2 2" xfId="4208"/>
    <cellStyle name="Normal 8 6 3 3" xfId="4209"/>
    <cellStyle name="Normal 8 6 4" xfId="4210"/>
    <cellStyle name="Normal 8 6 4 2" xfId="4211"/>
    <cellStyle name="Normal 8 6 5" xfId="4212"/>
    <cellStyle name="Normal 8 7" xfId="679"/>
    <cellStyle name="Normal 8 7 2" xfId="680"/>
    <cellStyle name="Normal 8 7 2 2" xfId="1029"/>
    <cellStyle name="Normal 8 7 2 2 2" xfId="4213"/>
    <cellStyle name="Normal 8 7 2 2 2 2" xfId="4214"/>
    <cellStyle name="Normal 8 7 2 2 3" xfId="4215"/>
    <cellStyle name="Normal 8 7 2 3" xfId="4216"/>
    <cellStyle name="Normal 8 7 2 3 2" xfId="4217"/>
    <cellStyle name="Normal 8 7 2 4" xfId="4218"/>
    <cellStyle name="Normal 8 7 3" xfId="1028"/>
    <cellStyle name="Normal 8 7 3 2" xfId="4219"/>
    <cellStyle name="Normal 8 7 3 2 2" xfId="4220"/>
    <cellStyle name="Normal 8 7 3 3" xfId="4221"/>
    <cellStyle name="Normal 8 7 4" xfId="4222"/>
    <cellStyle name="Normal 8 7 4 2" xfId="4223"/>
    <cellStyle name="Normal 8 7 5" xfId="4224"/>
    <cellStyle name="Normal 8 8" xfId="681"/>
    <cellStyle name="Normal 8 8 2" xfId="1030"/>
    <cellStyle name="Normal 8 8 2 2" xfId="4225"/>
    <cellStyle name="Normal 8 8 2 2 2" xfId="4226"/>
    <cellStyle name="Normal 8 8 2 3" xfId="4227"/>
    <cellStyle name="Normal 8 8 3" xfId="4228"/>
    <cellStyle name="Normal 8 8 3 2" xfId="4229"/>
    <cellStyle name="Normal 8 8 4" xfId="4230"/>
    <cellStyle name="Normal 8 9" xfId="4231"/>
    <cellStyle name="Normal 8_Report on May 09,09" xfId="2179"/>
    <cellStyle name="Normal 80" xfId="2180"/>
    <cellStyle name="Normal 81" xfId="2181"/>
    <cellStyle name="Normal 82" xfId="2182"/>
    <cellStyle name="Normal 83" xfId="2183"/>
    <cellStyle name="Normal 83 2" xfId="2184"/>
    <cellStyle name="Normal 84" xfId="2185"/>
    <cellStyle name="Normal 85" xfId="2186"/>
    <cellStyle name="Normal 86" xfId="2187"/>
    <cellStyle name="Normal 87" xfId="2188"/>
    <cellStyle name="Normal 88" xfId="2189"/>
    <cellStyle name="Normal 89" xfId="2190"/>
    <cellStyle name="Normal 9" xfId="116"/>
    <cellStyle name="Normal 9 10" xfId="4232"/>
    <cellStyle name="Normal 9 2" xfId="205"/>
    <cellStyle name="Normal 9 2 2" xfId="915"/>
    <cellStyle name="Normal 9 2 2 2" xfId="4233"/>
    <cellStyle name="Normal 9 2 2 2 2" xfId="4234"/>
    <cellStyle name="Normal 9 2 2 2 2 2" xfId="4235"/>
    <cellStyle name="Normal 9 2 2 2 3" xfId="4236"/>
    <cellStyle name="Normal 9 2 2 3" xfId="4237"/>
    <cellStyle name="Normal 9 2 2 3 2" xfId="4238"/>
    <cellStyle name="Normal 9 2 2 3 2 2" xfId="4239"/>
    <cellStyle name="Normal 9 2 2 3 3" xfId="4240"/>
    <cellStyle name="Normal 9 2 2 4" xfId="4241"/>
    <cellStyle name="Normal 9 2 2 4 2" xfId="4242"/>
    <cellStyle name="Normal 9 2 2 5" xfId="4243"/>
    <cellStyle name="Normal 9 2 3" xfId="2191"/>
    <cellStyle name="Normal 9 2 3 2" xfId="4244"/>
    <cellStyle name="Normal 9 2 3 2 2" xfId="4245"/>
    <cellStyle name="Normal 9 2 3 3" xfId="4246"/>
    <cellStyle name="Normal 9 2 4" xfId="2192"/>
    <cellStyle name="Normal 9 2 4 2" xfId="4247"/>
    <cellStyle name="Normal 9 2 4 2 2" xfId="4248"/>
    <cellStyle name="Normal 9 2 4 3" xfId="4249"/>
    <cellStyle name="Normal 9 2 5" xfId="4250"/>
    <cellStyle name="Normal 9 2 5 2" xfId="4251"/>
    <cellStyle name="Normal 9 2 6" xfId="4252"/>
    <cellStyle name="Normal 9 3" xfId="223"/>
    <cellStyle name="Normal 9 3 2" xfId="930"/>
    <cellStyle name="Normal 9 3 2 2" xfId="4253"/>
    <cellStyle name="Normal 9 3 2 2 2" xfId="4254"/>
    <cellStyle name="Normal 9 3 2 3" xfId="4255"/>
    <cellStyle name="Normal 9 3 3" xfId="2193"/>
    <cellStyle name="Normal 9 3 3 2" xfId="4256"/>
    <cellStyle name="Normal 9 3 3 2 2" xfId="4257"/>
    <cellStyle name="Normal 9 3 3 3" xfId="4258"/>
    <cellStyle name="Normal 9 3 4" xfId="4259"/>
    <cellStyle name="Normal 9 3 4 2" xfId="4260"/>
    <cellStyle name="Normal 9 3 4 2 2" xfId="4261"/>
    <cellStyle name="Normal 9 3 4 3" xfId="4262"/>
    <cellStyle name="Normal 9 3 5" xfId="4263"/>
    <cellStyle name="Normal 9 3 5 2" xfId="4264"/>
    <cellStyle name="Normal 9 3 6" xfId="4265"/>
    <cellStyle name="Normal 9 4" xfId="243"/>
    <cellStyle name="Normal 9 4 2" xfId="947"/>
    <cellStyle name="Normal 9 4 2 2" xfId="4266"/>
    <cellStyle name="Normal 9 4 2 2 2" xfId="4267"/>
    <cellStyle name="Normal 9 4 2 3" xfId="4268"/>
    <cellStyle name="Normal 9 4 3" xfId="2194"/>
    <cellStyle name="Normal 9 4 3 2" xfId="4269"/>
    <cellStyle name="Normal 9 4 3 2 2" xfId="4270"/>
    <cellStyle name="Normal 9 4 3 3" xfId="4271"/>
    <cellStyle name="Normal 9 4 4" xfId="2195"/>
    <cellStyle name="Normal 9 4 4 2" xfId="4272"/>
    <cellStyle name="Normal 9 4 4 2 2" xfId="4273"/>
    <cellStyle name="Normal 9 4 4 3" xfId="4274"/>
    <cellStyle name="Normal 9 4 5" xfId="4275"/>
    <cellStyle name="Normal 9 4 5 2" xfId="4276"/>
    <cellStyle name="Normal 9 4 6" xfId="4277"/>
    <cellStyle name="Normal 9 5" xfId="239"/>
    <cellStyle name="Normal 9 5 2" xfId="943"/>
    <cellStyle name="Normal 9 5 2 2" xfId="4278"/>
    <cellStyle name="Normal 9 5 2 2 2" xfId="4279"/>
    <cellStyle name="Normal 9 5 2 3" xfId="4280"/>
    <cellStyle name="Normal 9 5 3" xfId="2196"/>
    <cellStyle name="Normal 9 5 3 2" xfId="4281"/>
    <cellStyle name="Normal 9 5 4" xfId="2197"/>
    <cellStyle name="Normal 9 6" xfId="838"/>
    <cellStyle name="Normal 9 6 2" xfId="4282"/>
    <cellStyle name="Normal 9 6 2 2" xfId="4283"/>
    <cellStyle name="Normal 9 6 3" xfId="4284"/>
    <cellStyle name="Normal 9 7" xfId="2198"/>
    <cellStyle name="Normal 9 7 2" xfId="4285"/>
    <cellStyle name="Normal 9 7 2 2" xfId="4286"/>
    <cellStyle name="Normal 9 7 3" xfId="4287"/>
    <cellStyle name="Normal 9 8" xfId="4288"/>
    <cellStyle name="Normal 9 8 2" xfId="4289"/>
    <cellStyle name="Normal 9 8 2 2" xfId="4290"/>
    <cellStyle name="Normal 9 8 3" xfId="4291"/>
    <cellStyle name="Normal 9 9" xfId="4292"/>
    <cellStyle name="Normal 9 9 2" xfId="4293"/>
    <cellStyle name="Normal 9_Report on May 09,09" xfId="2199"/>
    <cellStyle name="Normal 90" xfId="2200"/>
    <cellStyle name="Normal 91" xfId="2201"/>
    <cellStyle name="Normal 92" xfId="2202"/>
    <cellStyle name="Normal 93" xfId="2203"/>
    <cellStyle name="Normal 94" xfId="2204"/>
    <cellStyle name="Normal 95" xfId="2205"/>
    <cellStyle name="Normal 96" xfId="2206"/>
    <cellStyle name="Normal 97" xfId="2207"/>
    <cellStyle name="Normal 98" xfId="2208"/>
    <cellStyle name="Normal 99" xfId="2209"/>
    <cellStyle name="Normal_Daily production BPA 2005" xfId="91"/>
    <cellStyle name="Normal_Stock card - Chemical (K.Keng)" xfId="4"/>
    <cellStyle name="Normal_Stock card - Chemical (K.Keng) 2" xfId="809"/>
    <cellStyle name="Normale_COVER4089" xfId="682"/>
    <cellStyle name="Note 2" xfId="683"/>
    <cellStyle name="Note 2 2" xfId="684"/>
    <cellStyle name="Note 2 2 2" xfId="1032"/>
    <cellStyle name="Note 2 2 2 2" xfId="4294"/>
    <cellStyle name="Note 2 2 2 2 2" xfId="4295"/>
    <cellStyle name="Note 2 2 2 3" xfId="4296"/>
    <cellStyle name="Note 2 2 3" xfId="4297"/>
    <cellStyle name="Note 2 2 3 2" xfId="4298"/>
    <cellStyle name="Note 2 2 4" xfId="4299"/>
    <cellStyle name="Note 2 3" xfId="1031"/>
    <cellStyle name="Note 2 3 2" xfId="4300"/>
    <cellStyle name="Note 2 3 2 2" xfId="4301"/>
    <cellStyle name="Note 2 3 3" xfId="4302"/>
    <cellStyle name="Note 2 4" xfId="4303"/>
    <cellStyle name="Note 2 4 2" xfId="4304"/>
    <cellStyle name="Note 2 4 2 2" xfId="4305"/>
    <cellStyle name="Note 2 4 3" xfId="4306"/>
    <cellStyle name="Note 3" xfId="4307"/>
    <cellStyle name="Œ…‹æØ‚è [0.00]_Document Transmittal" xfId="685"/>
    <cellStyle name="Œ…‹æØ‚è_Document Transmittal" xfId="686"/>
    <cellStyle name="Output 2" xfId="4308"/>
    <cellStyle name="Output 3" xfId="4309"/>
    <cellStyle name="per.style" xfId="4310"/>
    <cellStyle name="Percent" xfId="2" builtinId="5"/>
    <cellStyle name="Percent [2]" xfId="687"/>
    <cellStyle name="Percent 2" xfId="92"/>
    <cellStyle name="Percent 2 10" xfId="2210"/>
    <cellStyle name="Percent 2 11" xfId="2211"/>
    <cellStyle name="Percent 2 12" xfId="2212"/>
    <cellStyle name="Percent 2 13" xfId="2213"/>
    <cellStyle name="Percent 2 14" xfId="2214"/>
    <cellStyle name="Percent 2 15" xfId="2215"/>
    <cellStyle name="Percent 2 16" xfId="2216"/>
    <cellStyle name="Percent 2 17" xfId="2217"/>
    <cellStyle name="Percent 2 18" xfId="2218"/>
    <cellStyle name="Percent 2 19" xfId="2219"/>
    <cellStyle name="Percent 2 2" xfId="688"/>
    <cellStyle name="Percent 2 2 2" xfId="4311"/>
    <cellStyle name="Percent 2 2 3" xfId="4312"/>
    <cellStyle name="Percent 2 2 3 2" xfId="4313"/>
    <cellStyle name="Percent 2 2 3 2 2" xfId="4314"/>
    <cellStyle name="Percent 2 2 3 3" xfId="4315"/>
    <cellStyle name="Percent 2 2 4" xfId="4316"/>
    <cellStyle name="Percent 2 2 4 2" xfId="4317"/>
    <cellStyle name="Percent 2 2 5" xfId="4318"/>
    <cellStyle name="Percent 2 20" xfId="2220"/>
    <cellStyle name="Percent 2 21" xfId="2221"/>
    <cellStyle name="Percent 2 22" xfId="2222"/>
    <cellStyle name="Percent 2 23" xfId="2223"/>
    <cellStyle name="Percent 2 24" xfId="2224"/>
    <cellStyle name="Percent 2 25" xfId="2225"/>
    <cellStyle name="Percent 2 26" xfId="2226"/>
    <cellStyle name="Percent 2 27" xfId="2227"/>
    <cellStyle name="Percent 2 28" xfId="2228"/>
    <cellStyle name="Percent 2 3" xfId="2229"/>
    <cellStyle name="Percent 2 4" xfId="2230"/>
    <cellStyle name="Percent 2 5" xfId="2231"/>
    <cellStyle name="Percent 2 6" xfId="2232"/>
    <cellStyle name="Percent 2 7" xfId="2233"/>
    <cellStyle name="Percent 2 8" xfId="2234"/>
    <cellStyle name="Percent 2 9" xfId="2235"/>
    <cellStyle name="Percent 3" xfId="9"/>
    <cellStyle name="Percent 3 10" xfId="261"/>
    <cellStyle name="Percent 3 10 2" xfId="963"/>
    <cellStyle name="Percent 3 10 2 2" xfId="4319"/>
    <cellStyle name="Percent 3 10 2 2 2" xfId="4320"/>
    <cellStyle name="Percent 3 10 2 3" xfId="4321"/>
    <cellStyle name="Percent 3 10 3" xfId="4322"/>
    <cellStyle name="Percent 3 10 3 2" xfId="4323"/>
    <cellStyle name="Percent 3 10 4" xfId="4324"/>
    <cellStyle name="Percent 3 11" xfId="813"/>
    <cellStyle name="Percent 3 11 2" xfId="4325"/>
    <cellStyle name="Percent 3 11 2 2" xfId="4326"/>
    <cellStyle name="Percent 3 11 3" xfId="4327"/>
    <cellStyle name="Percent 3 12" xfId="4328"/>
    <cellStyle name="Percent 3 12 2" xfId="4329"/>
    <cellStyle name="Percent 3 12 2 2" xfId="4330"/>
    <cellStyle name="Percent 3 12 3" xfId="4331"/>
    <cellStyle name="Percent 3 13" xfId="4332"/>
    <cellStyle name="Percent 3 13 2" xfId="4333"/>
    <cellStyle name="Percent 3 14" xfId="4334"/>
    <cellStyle name="Percent 3 2" xfId="117"/>
    <cellStyle name="Percent 3 2 2" xfId="689"/>
    <cellStyle name="Percent 3 2 2 2" xfId="690"/>
    <cellStyle name="Percent 3 2 2 2 2" xfId="1033"/>
    <cellStyle name="Percent 3 2 2 2 2 2" xfId="4335"/>
    <cellStyle name="Percent 3 2 2 2 2 2 2" xfId="4336"/>
    <cellStyle name="Percent 3 2 2 2 2 3" xfId="4337"/>
    <cellStyle name="Percent 3 2 2 2 3" xfId="4338"/>
    <cellStyle name="Percent 3 2 2 2 3 2" xfId="4339"/>
    <cellStyle name="Percent 3 2 2 2 4" xfId="4340"/>
    <cellStyle name="Percent 3 2 2 3" xfId="4341"/>
    <cellStyle name="Percent 3 2 2 4" xfId="4342"/>
    <cellStyle name="Percent 3 2 2 4 2" xfId="4343"/>
    <cellStyle name="Percent 3 2 2 5" xfId="4344"/>
    <cellStyle name="Percent 3 2 3" xfId="839"/>
    <cellStyle name="Percent 3 2 3 2" xfId="4345"/>
    <cellStyle name="Percent 3 2 3 2 2" xfId="4346"/>
    <cellStyle name="Percent 3 2 3 3" xfId="4347"/>
    <cellStyle name="Percent 3 2 4" xfId="4348"/>
    <cellStyle name="Percent 3 2 4 2" xfId="4349"/>
    <cellStyle name="Percent 3 2 4 2 2" xfId="4350"/>
    <cellStyle name="Percent 3 2 4 3" xfId="4351"/>
    <cellStyle name="Percent 3 2 5" xfId="4352"/>
    <cellStyle name="Percent 3 2 5 2" xfId="4353"/>
    <cellStyle name="Percent 3 2 6" xfId="4354"/>
    <cellStyle name="Percent 3 3" xfId="120"/>
    <cellStyle name="Percent 3 3 2" xfId="841"/>
    <cellStyle name="Percent 3 3 2 2" xfId="4355"/>
    <cellStyle name="Percent 3 3 2 2 2" xfId="4356"/>
    <cellStyle name="Percent 3 3 2 3" xfId="4357"/>
    <cellStyle name="Percent 3 3 3" xfId="4358"/>
    <cellStyle name="Percent 3 3 3 2" xfId="4359"/>
    <cellStyle name="Percent 3 3 3 2 2" xfId="4360"/>
    <cellStyle name="Percent 3 3 3 3" xfId="4361"/>
    <cellStyle name="Percent 3 4" xfId="123"/>
    <cellStyle name="Percent 3 4 2" xfId="843"/>
    <cellStyle name="Percent 3 4 2 2" xfId="4362"/>
    <cellStyle name="Percent 3 4 2 2 2" xfId="4363"/>
    <cellStyle name="Percent 3 4 2 3" xfId="4364"/>
    <cellStyle name="Percent 3 4 3" xfId="4365"/>
    <cellStyle name="Percent 3 4 3 2" xfId="4366"/>
    <cellStyle name="Percent 3 4 3 2 2" xfId="4367"/>
    <cellStyle name="Percent 3 4 3 3" xfId="4368"/>
    <cellStyle name="Percent 3 4 4" xfId="4369"/>
    <cellStyle name="Percent 3 4 4 2" xfId="4370"/>
    <cellStyle name="Percent 3 4 5" xfId="4371"/>
    <cellStyle name="Percent 3 5" xfId="126"/>
    <cellStyle name="Percent 3 5 2" xfId="845"/>
    <cellStyle name="Percent 3 5 2 2" xfId="4372"/>
    <cellStyle name="Percent 3 5 2 2 2" xfId="4373"/>
    <cellStyle name="Percent 3 5 2 3" xfId="4374"/>
    <cellStyle name="Percent 3 5 3" xfId="4375"/>
    <cellStyle name="Percent 3 5 3 2" xfId="4376"/>
    <cellStyle name="Percent 3 5 4" xfId="4377"/>
    <cellStyle name="Percent 3 6" xfId="129"/>
    <cellStyle name="Percent 3 6 2" xfId="847"/>
    <cellStyle name="Percent 3 6 2 2" xfId="4378"/>
    <cellStyle name="Percent 3 6 2 2 2" xfId="4379"/>
    <cellStyle name="Percent 3 6 2 3" xfId="4380"/>
    <cellStyle name="Percent 3 6 3" xfId="4381"/>
    <cellStyle name="Percent 3 6 3 2" xfId="4382"/>
    <cellStyle name="Percent 3 6 4" xfId="4383"/>
    <cellStyle name="Percent 3 7" xfId="207"/>
    <cellStyle name="Percent 3 7 2" xfId="917"/>
    <cellStyle name="Percent 3 7 2 2" xfId="4384"/>
    <cellStyle name="Percent 3 7 2 2 2" xfId="4385"/>
    <cellStyle name="Percent 3 7 2 3" xfId="4386"/>
    <cellStyle name="Percent 3 7 3" xfId="4387"/>
    <cellStyle name="Percent 3 7 3 2" xfId="4388"/>
    <cellStyle name="Percent 3 7 4" xfId="4389"/>
    <cellStyle name="Percent 3 8" xfId="224"/>
    <cellStyle name="Percent 3 8 2" xfId="931"/>
    <cellStyle name="Percent 3 8 2 2" xfId="4390"/>
    <cellStyle name="Percent 3 8 2 2 2" xfId="4391"/>
    <cellStyle name="Percent 3 8 2 3" xfId="4392"/>
    <cellStyle name="Percent 3 8 3" xfId="4393"/>
    <cellStyle name="Percent 3 8 3 2" xfId="4394"/>
    <cellStyle name="Percent 3 8 4" xfId="4395"/>
    <cellStyle name="Percent 3 9" xfId="247"/>
    <cellStyle name="Percent 3 9 2" xfId="951"/>
    <cellStyle name="Percent 3 9 2 2" xfId="4396"/>
    <cellStyle name="Percent 3 9 2 2 2" xfId="4397"/>
    <cellStyle name="Percent 3 9 2 3" xfId="4398"/>
    <cellStyle name="Percent 3 9 3" xfId="4399"/>
    <cellStyle name="Percent 3 9 3 2" xfId="4400"/>
    <cellStyle name="Percent 3 9 4" xfId="4401"/>
    <cellStyle name="Percent 4" xfId="93"/>
    <cellStyle name="Percent 4 2" xfId="268"/>
    <cellStyle name="Percent 4 2 2" xfId="4402"/>
    <cellStyle name="Percent 4 3" xfId="4403"/>
    <cellStyle name="Percent 4 3 2" xfId="4404"/>
    <cellStyle name="Percent 4 3 2 2" xfId="4405"/>
    <cellStyle name="Percent 4 3 3" xfId="4406"/>
    <cellStyle name="Percent 4 4" xfId="4407"/>
    <cellStyle name="Percent 4 4 2" xfId="4408"/>
    <cellStyle name="Percent 4 5" xfId="4409"/>
    <cellStyle name="Percent 5" xfId="209"/>
    <cellStyle name="Percent 5 2" xfId="691"/>
    <cellStyle name="Percent 5 2 2" xfId="270"/>
    <cellStyle name="Percent 5 2 2 2" xfId="967"/>
    <cellStyle name="Percent 5 2 2 2 2" xfId="4410"/>
    <cellStyle name="Percent 5 2 2 2 2 2" xfId="4411"/>
    <cellStyle name="Percent 5 2 2 2 3" xfId="4412"/>
    <cellStyle name="Percent 5 2 2 3" xfId="4413"/>
    <cellStyle name="Percent 5 2 2 3 2" xfId="4414"/>
    <cellStyle name="Percent 5 2 2 4" xfId="4415"/>
    <cellStyle name="Percent 5 2 3" xfId="1034"/>
    <cellStyle name="Percent 5 2 3 2" xfId="4416"/>
    <cellStyle name="Percent 5 2 3 2 2" xfId="4417"/>
    <cellStyle name="Percent 5 2 3 3" xfId="4418"/>
    <cellStyle name="Percent 5 2 4" xfId="4419"/>
    <cellStyle name="Percent 5 2 4 2" xfId="4420"/>
    <cellStyle name="Percent 5 2 5" xfId="4421"/>
    <cellStyle name="Percent 5 3" xfId="692"/>
    <cellStyle name="Percent 5 4" xfId="4422"/>
    <cellStyle name="Percent 5 5" xfId="4423"/>
    <cellStyle name="Percent 5 5 2" xfId="4424"/>
    <cellStyle name="Percent 5 6" xfId="4425"/>
    <cellStyle name="Percent 6" xfId="259"/>
    <cellStyle name="Percent 6 2" xfId="693"/>
    <cellStyle name="Percent 6 2 2" xfId="694"/>
    <cellStyle name="Percent 6 2 2 2" xfId="1036"/>
    <cellStyle name="Percent 6 2 2 2 2" xfId="4426"/>
    <cellStyle name="Percent 6 2 2 2 2 2" xfId="4427"/>
    <cellStyle name="Percent 6 2 2 2 3" xfId="4428"/>
    <cellStyle name="Percent 6 2 2 3" xfId="4429"/>
    <cellStyle name="Percent 6 2 2 3 2" xfId="4430"/>
    <cellStyle name="Percent 6 2 2 4" xfId="4431"/>
    <cellStyle name="Percent 6 2 3" xfId="695"/>
    <cellStyle name="Percent 6 2 3 2" xfId="1037"/>
    <cellStyle name="Percent 6 2 3 2 2" xfId="4432"/>
    <cellStyle name="Percent 6 2 3 2 2 2" xfId="4433"/>
    <cellStyle name="Percent 6 2 3 2 3" xfId="4434"/>
    <cellStyle name="Percent 6 2 3 3" xfId="4435"/>
    <cellStyle name="Percent 6 2 3 3 2" xfId="4436"/>
    <cellStyle name="Percent 6 2 3 4" xfId="4437"/>
    <cellStyle name="Percent 6 2 4" xfId="1035"/>
    <cellStyle name="Percent 6 2 4 2" xfId="4438"/>
    <cellStyle name="Percent 6 2 4 2 2" xfId="4439"/>
    <cellStyle name="Percent 6 2 4 3" xfId="4440"/>
    <cellStyle name="Percent 6 2 5" xfId="4441"/>
    <cellStyle name="Percent 6 2 5 2" xfId="4442"/>
    <cellStyle name="Percent 6 2 6" xfId="4443"/>
    <cellStyle name="Percent 6 3" xfId="696"/>
    <cellStyle name="Percent 7" xfId="697"/>
    <cellStyle name="Percent 7 2" xfId="698"/>
    <cellStyle name="Percent 7 3" xfId="1038"/>
    <cellStyle name="Percent 7 3 2" xfId="4444"/>
    <cellStyle name="Percent 7 3 2 2" xfId="4445"/>
    <cellStyle name="Percent 7 3 3" xfId="4446"/>
    <cellStyle name="Percent 7 4" xfId="4447"/>
    <cellStyle name="Percent 7 4 2" xfId="4448"/>
    <cellStyle name="Percent 7 5" xfId="4449"/>
    <cellStyle name="Percent 8" xfId="699"/>
    <cellStyle name="Percent 9" xfId="700"/>
    <cellStyle name="Percent 9 2" xfId="701"/>
    <cellStyle name="Percent 9 2 2" xfId="702"/>
    <cellStyle name="Percent 9 2 3" xfId="703"/>
    <cellStyle name="Percent 9 2 4" xfId="704"/>
    <cellStyle name="Percent 9 3" xfId="705"/>
    <cellStyle name="Percent 9 3 2" xfId="706"/>
    <cellStyle name="Percent 9 3 3" xfId="707"/>
    <cellStyle name="Percent 9 3 4" xfId="708"/>
    <cellStyle name="Percent 9 4" xfId="709"/>
    <cellStyle name="Percent 9 5" xfId="710"/>
    <cellStyle name="Percent 9 6" xfId="711"/>
    <cellStyle name="Percent 9 7" xfId="712"/>
    <cellStyle name="Percent[0]" xfId="713"/>
    <cellStyle name="PLAN" xfId="4450"/>
    <cellStyle name="PSChar" xfId="714"/>
    <cellStyle name="PSDate" xfId="715"/>
    <cellStyle name="PSDec" xfId="716"/>
    <cellStyle name="PSHeading" xfId="717"/>
    <cellStyle name="PSInt" xfId="718"/>
    <cellStyle name="PSSpacer" xfId="719"/>
    <cellStyle name="Quantity" xfId="4451"/>
    <cellStyle name="Reverse" xfId="4452"/>
    <cellStyle name="RevList" xfId="4453"/>
    <cellStyle name="shade" xfId="720"/>
    <cellStyle name="Shaded" xfId="721"/>
    <cellStyle name="shi" xfId="722"/>
    <cellStyle name="st" xfId="723"/>
    <cellStyle name="Standaard_Apparateliste" xfId="724"/>
    <cellStyle name="Standard_db_hier" xfId="725"/>
    <cellStyle name="Style 1" xfId="726"/>
    <cellStyle name="style1" xfId="727"/>
    <cellStyle name="style1 2" xfId="1039"/>
    <cellStyle name="style2" xfId="728"/>
    <cellStyle name="style2 2" xfId="1040"/>
    <cellStyle name="style3" xfId="729"/>
    <cellStyle name="Subtotal" xfId="4454"/>
    <cellStyle name="Title 2" xfId="4455"/>
    <cellStyle name="Title 3" xfId="4456"/>
    <cellStyle name="Total 2" xfId="4457"/>
    <cellStyle name="Total 3" xfId="4458"/>
    <cellStyle name="TU" xfId="4459"/>
    <cellStyle name="Unshaded" xfId="730"/>
    <cellStyle name="Valuta (0)_COVER4089" xfId="731"/>
    <cellStyle name="Valuta_COVER4089" xfId="732"/>
    <cellStyle name="Warning Text 2" xfId="4460"/>
    <cellStyle name="Warning Text 3" xfId="4461"/>
    <cellStyle name="การคำนวณ" xfId="4471"/>
    <cellStyle name="ข้อความเตือน" xfId="4472"/>
    <cellStyle name="ข้อความอธิบาย" xfId="4473"/>
    <cellStyle name="เครื่องหมายจุลภาค [0]_PERSONAL" xfId="4462"/>
    <cellStyle name="เครื่องหมายจุลภาค_PERSONAL" xfId="4463"/>
    <cellStyle name="เครื่องหมายสกุลเงิน [0]_PERSONAL" xfId="4464"/>
    <cellStyle name="เครื่องหมายสกุลเงิน_PERSONAL" xfId="4465"/>
    <cellStyle name="ชื่อเรื่อง" xfId="4474"/>
    <cellStyle name="เชื่อมโยงหลายมิติ" xfId="4466"/>
    <cellStyle name="เซลล์ตรวจสอบ" xfId="4467"/>
    <cellStyle name="เซลล์ที่มีการเชื่อมโยง" xfId="4468"/>
    <cellStyle name="ดี" xfId="4475"/>
    <cellStyle name="ตามการเชื่อมโยงหลายมิติ" xfId="4476"/>
    <cellStyle name="ปกติ 10" xfId="2236"/>
    <cellStyle name="ปกติ 100" xfId="2237"/>
    <cellStyle name="ปกติ 101" xfId="2238"/>
    <cellStyle name="ปกติ 102" xfId="2239"/>
    <cellStyle name="ปกติ 103" xfId="2240"/>
    <cellStyle name="ปกติ 104" xfId="2241"/>
    <cellStyle name="ปกติ 105" xfId="2242"/>
    <cellStyle name="ปกติ 106" xfId="2243"/>
    <cellStyle name="ปกติ 107" xfId="2244"/>
    <cellStyle name="ปกติ 108" xfId="2245"/>
    <cellStyle name="ปกติ 109" xfId="2246"/>
    <cellStyle name="ปกติ 11" xfId="2247"/>
    <cellStyle name="ปกติ 110" xfId="2248"/>
    <cellStyle name="ปกติ 111" xfId="2249"/>
    <cellStyle name="ปกติ 112" xfId="2250"/>
    <cellStyle name="ปกติ 113" xfId="2251"/>
    <cellStyle name="ปกติ 114" xfId="2252"/>
    <cellStyle name="ปกติ 115" xfId="2253"/>
    <cellStyle name="ปกติ 116" xfId="2254"/>
    <cellStyle name="ปกติ 117" xfId="2255"/>
    <cellStyle name="ปกติ 118" xfId="2256"/>
    <cellStyle name="ปกติ 119" xfId="2257"/>
    <cellStyle name="ปกติ 12" xfId="2258"/>
    <cellStyle name="ปกติ 120" xfId="2259"/>
    <cellStyle name="ปกติ 121" xfId="2260"/>
    <cellStyle name="ปกติ 122" xfId="2261"/>
    <cellStyle name="ปกติ 123" xfId="2262"/>
    <cellStyle name="ปกติ 124" xfId="2263"/>
    <cellStyle name="ปกติ 125" xfId="2264"/>
    <cellStyle name="ปกติ 126" xfId="2265"/>
    <cellStyle name="ปกติ 127" xfId="2266"/>
    <cellStyle name="ปกติ 128" xfId="2267"/>
    <cellStyle name="ปกติ 129" xfId="2268"/>
    <cellStyle name="ปกติ 13" xfId="2269"/>
    <cellStyle name="ปกติ 130" xfId="2270"/>
    <cellStyle name="ปกติ 131" xfId="2271"/>
    <cellStyle name="ปกติ 132" xfId="2272"/>
    <cellStyle name="ปกติ 133" xfId="2273"/>
    <cellStyle name="ปกติ 134" xfId="2274"/>
    <cellStyle name="ปกติ 135" xfId="2275"/>
    <cellStyle name="ปกติ 136" xfId="2276"/>
    <cellStyle name="ปกติ 137" xfId="2277"/>
    <cellStyle name="ปกติ 138" xfId="2278"/>
    <cellStyle name="ปกติ 138 2" xfId="2279"/>
    <cellStyle name="ปกติ 139" xfId="2280"/>
    <cellStyle name="ปกติ 139 2" xfId="2281"/>
    <cellStyle name="ปกติ 14" xfId="2282"/>
    <cellStyle name="ปกติ 140" xfId="2283"/>
    <cellStyle name="ปกติ 140 2" xfId="2284"/>
    <cellStyle name="ปกติ 141" xfId="2285"/>
    <cellStyle name="ปกติ 141 2" xfId="2286"/>
    <cellStyle name="ปกติ 142" xfId="2287"/>
    <cellStyle name="ปกติ 142 2" xfId="2288"/>
    <cellStyle name="ปกติ 143" xfId="2289"/>
    <cellStyle name="ปกติ 143 2" xfId="2290"/>
    <cellStyle name="ปกติ 144" xfId="2291"/>
    <cellStyle name="ปกติ 144 2" xfId="2292"/>
    <cellStyle name="ปกติ 145" xfId="2293"/>
    <cellStyle name="ปกติ 145 2" xfId="2294"/>
    <cellStyle name="ปกติ 146" xfId="2295"/>
    <cellStyle name="ปกติ 146 2" xfId="2296"/>
    <cellStyle name="ปกติ 147" xfId="2297"/>
    <cellStyle name="ปกติ 147 2" xfId="2298"/>
    <cellStyle name="ปกติ 148" xfId="2299"/>
    <cellStyle name="ปกติ 148 2" xfId="2300"/>
    <cellStyle name="ปกติ 149" xfId="2301"/>
    <cellStyle name="ปกติ 149 2" xfId="2302"/>
    <cellStyle name="ปกติ 15" xfId="2303"/>
    <cellStyle name="ปกติ 150" xfId="2304"/>
    <cellStyle name="ปกติ 150 2" xfId="2305"/>
    <cellStyle name="ปกติ 151" xfId="2306"/>
    <cellStyle name="ปกติ 151 2" xfId="2307"/>
    <cellStyle name="ปกติ 152" xfId="2308"/>
    <cellStyle name="ปกติ 152 2" xfId="2309"/>
    <cellStyle name="ปกติ 153" xfId="2310"/>
    <cellStyle name="ปกติ 153 2" xfId="2311"/>
    <cellStyle name="ปกติ 154" xfId="2312"/>
    <cellStyle name="ปกติ 154 2" xfId="2313"/>
    <cellStyle name="ปกติ 155" xfId="2314"/>
    <cellStyle name="ปกติ 155 2" xfId="2315"/>
    <cellStyle name="ปกติ 156" xfId="2316"/>
    <cellStyle name="ปกติ 156 2" xfId="2317"/>
    <cellStyle name="ปกติ 157" xfId="2318"/>
    <cellStyle name="ปกติ 157 2" xfId="2319"/>
    <cellStyle name="ปกติ 158" xfId="2320"/>
    <cellStyle name="ปกติ 158 2" xfId="2321"/>
    <cellStyle name="ปกติ 159" xfId="2322"/>
    <cellStyle name="ปกติ 159 2" xfId="2323"/>
    <cellStyle name="ปกติ 16" xfId="2324"/>
    <cellStyle name="ปกติ 160" xfId="2325"/>
    <cellStyle name="ปกติ 160 2" xfId="2326"/>
    <cellStyle name="ปกติ 161" xfId="2327"/>
    <cellStyle name="ปกติ 161 2" xfId="2328"/>
    <cellStyle name="ปกติ 162" xfId="2329"/>
    <cellStyle name="ปกติ 162 2" xfId="2330"/>
    <cellStyle name="ปกติ 162 2 2" xfId="2331"/>
    <cellStyle name="ปกติ 162 3" xfId="2332"/>
    <cellStyle name="ปกติ 163" xfId="2333"/>
    <cellStyle name="ปกติ 163 2" xfId="2334"/>
    <cellStyle name="ปกติ 163 2 2" xfId="2335"/>
    <cellStyle name="ปกติ 163 3" xfId="2336"/>
    <cellStyle name="ปกติ 164" xfId="2337"/>
    <cellStyle name="ปกติ 164 2" xfId="2338"/>
    <cellStyle name="ปกติ 164 2 2" xfId="2339"/>
    <cellStyle name="ปกติ 164 3" xfId="2340"/>
    <cellStyle name="ปกติ 165" xfId="2341"/>
    <cellStyle name="ปกติ 165 2" xfId="2342"/>
    <cellStyle name="ปกติ 165 2 2" xfId="2343"/>
    <cellStyle name="ปกติ 165 3" xfId="2344"/>
    <cellStyle name="ปกติ 166" xfId="2345"/>
    <cellStyle name="ปกติ 166 2" xfId="2346"/>
    <cellStyle name="ปกติ 166 2 2" xfId="2347"/>
    <cellStyle name="ปกติ 166 3" xfId="2348"/>
    <cellStyle name="ปกติ 167" xfId="2349"/>
    <cellStyle name="ปกติ 167 2" xfId="2350"/>
    <cellStyle name="ปกติ 167 2 2" xfId="2351"/>
    <cellStyle name="ปกติ 167 3" xfId="2352"/>
    <cellStyle name="ปกติ 17" xfId="2353"/>
    <cellStyle name="ปกติ 18" xfId="2354"/>
    <cellStyle name="ปกติ 19" xfId="2355"/>
    <cellStyle name="ปกติ 2" xfId="2356"/>
    <cellStyle name="ปกติ 2 2" xfId="2357"/>
    <cellStyle name="ปกติ 2 3" xfId="2358"/>
    <cellStyle name="ปกติ 2 4" xfId="2359"/>
    <cellStyle name="ปกติ 2 5" xfId="2360"/>
    <cellStyle name="ปกติ 2 6" xfId="2361"/>
    <cellStyle name="ปกติ 2 7" xfId="2362"/>
    <cellStyle name="ปกติ 2 8" xfId="2363"/>
    <cellStyle name="ปกติ 20" xfId="2364"/>
    <cellStyle name="ปกติ 21" xfId="2365"/>
    <cellStyle name="ปกติ 22" xfId="2366"/>
    <cellStyle name="ปกติ 23" xfId="2367"/>
    <cellStyle name="ปกติ 24" xfId="2368"/>
    <cellStyle name="ปกติ 25" xfId="2369"/>
    <cellStyle name="ปกติ 26" xfId="2370"/>
    <cellStyle name="ปกติ 27" xfId="2371"/>
    <cellStyle name="ปกติ 28" xfId="2372"/>
    <cellStyle name="ปกติ 29" xfId="2373"/>
    <cellStyle name="ปกติ 3" xfId="2374"/>
    <cellStyle name="ปกติ 30" xfId="2375"/>
    <cellStyle name="ปกติ 31" xfId="2376"/>
    <cellStyle name="ปกติ 32" xfId="2377"/>
    <cellStyle name="ปกติ 33" xfId="2378"/>
    <cellStyle name="ปกติ 34" xfId="2379"/>
    <cellStyle name="ปกติ 35" xfId="2380"/>
    <cellStyle name="ปกติ 36" xfId="2381"/>
    <cellStyle name="ปกติ 37" xfId="2382"/>
    <cellStyle name="ปกติ 38" xfId="2383"/>
    <cellStyle name="ปกติ 39" xfId="2384"/>
    <cellStyle name="ปกติ 4" xfId="2385"/>
    <cellStyle name="ปกติ 40" xfId="2386"/>
    <cellStyle name="ปกติ 41" xfId="2387"/>
    <cellStyle name="ปกติ 42" xfId="2388"/>
    <cellStyle name="ปกติ 43" xfId="2389"/>
    <cellStyle name="ปกติ 44" xfId="2390"/>
    <cellStyle name="ปกติ 45" xfId="2391"/>
    <cellStyle name="ปกติ 46" xfId="2392"/>
    <cellStyle name="ปกติ 47" xfId="2393"/>
    <cellStyle name="ปกติ 48" xfId="2394"/>
    <cellStyle name="ปกติ 49" xfId="2395"/>
    <cellStyle name="ปกติ 5" xfId="2396"/>
    <cellStyle name="ปกติ 50" xfId="2397"/>
    <cellStyle name="ปกติ 51" xfId="2398"/>
    <cellStyle name="ปกติ 52" xfId="2399"/>
    <cellStyle name="ปกติ 53" xfId="2400"/>
    <cellStyle name="ปกติ 54" xfId="2401"/>
    <cellStyle name="ปกติ 55" xfId="2402"/>
    <cellStyle name="ปกติ 56" xfId="2403"/>
    <cellStyle name="ปกติ 57" xfId="2404"/>
    <cellStyle name="ปกติ 58" xfId="2405"/>
    <cellStyle name="ปกติ 59" xfId="2406"/>
    <cellStyle name="ปกติ 6" xfId="2407"/>
    <cellStyle name="ปกติ 60" xfId="2408"/>
    <cellStyle name="ปกติ 61" xfId="2409"/>
    <cellStyle name="ปกติ 62" xfId="2410"/>
    <cellStyle name="ปกติ 63" xfId="2411"/>
    <cellStyle name="ปกติ 64" xfId="2412"/>
    <cellStyle name="ปกติ 65" xfId="2413"/>
    <cellStyle name="ปกติ 66" xfId="2414"/>
    <cellStyle name="ปกติ 67" xfId="2415"/>
    <cellStyle name="ปกติ 68" xfId="2416"/>
    <cellStyle name="ปกติ 69" xfId="2417"/>
    <cellStyle name="ปกติ 7" xfId="2418"/>
    <cellStyle name="ปกติ 7 2" xfId="2419"/>
    <cellStyle name="ปกติ 70" xfId="2420"/>
    <cellStyle name="ปกติ 71" xfId="2421"/>
    <cellStyle name="ปกติ 72" xfId="2422"/>
    <cellStyle name="ปกติ 73" xfId="2423"/>
    <cellStyle name="ปกติ 74" xfId="2424"/>
    <cellStyle name="ปกติ 75" xfId="2425"/>
    <cellStyle name="ปกติ 76" xfId="2426"/>
    <cellStyle name="ปกติ 77" xfId="2427"/>
    <cellStyle name="ปกติ 78" xfId="2428"/>
    <cellStyle name="ปกติ 79" xfId="2429"/>
    <cellStyle name="ปกติ 8" xfId="2430"/>
    <cellStyle name="ปกติ 80" xfId="2431"/>
    <cellStyle name="ปกติ 81" xfId="2432"/>
    <cellStyle name="ปกติ 82" xfId="2433"/>
    <cellStyle name="ปกติ 83" xfId="2434"/>
    <cellStyle name="ปกติ 84" xfId="2435"/>
    <cellStyle name="ปกติ 85" xfId="2436"/>
    <cellStyle name="ปกติ 86" xfId="2437"/>
    <cellStyle name="ปกติ 87" xfId="2438"/>
    <cellStyle name="ปกติ 88" xfId="2439"/>
    <cellStyle name="ปกติ 89" xfId="2440"/>
    <cellStyle name="ปกติ 9" xfId="2441"/>
    <cellStyle name="ปกติ 90" xfId="2442"/>
    <cellStyle name="ปกติ 91" xfId="2443"/>
    <cellStyle name="ปกติ 92" xfId="2444"/>
    <cellStyle name="ปกติ 93" xfId="2445"/>
    <cellStyle name="ปกติ 94" xfId="2446"/>
    <cellStyle name="ปกติ 95" xfId="2447"/>
    <cellStyle name="ปกติ 96" xfId="2448"/>
    <cellStyle name="ปกติ 97" xfId="2449"/>
    <cellStyle name="ปกติ 98" xfId="2450"/>
    <cellStyle name="ปกติ 99" xfId="2451"/>
    <cellStyle name="ปกติ_~1781261" xfId="4477"/>
    <cellStyle name="ป้อนค่า" xfId="4478"/>
    <cellStyle name="ปานกลาง" xfId="4479"/>
    <cellStyle name="ผลรวม" xfId="4480"/>
    <cellStyle name="แย่" xfId="4469"/>
    <cellStyle name="ส่วนที่ถูกเน้น1" xfId="4481"/>
    <cellStyle name="ส่วนที่ถูกเน้น2" xfId="4482"/>
    <cellStyle name="ส่วนที่ถูกเน้น3" xfId="4483"/>
    <cellStyle name="ส่วนที่ถูกเน้น4" xfId="4484"/>
    <cellStyle name="ส่วนที่ถูกเน้น5" xfId="4485"/>
    <cellStyle name="ส่วนที่ถูกเน้น6" xfId="4486"/>
    <cellStyle name="แสดงผล" xfId="4470"/>
    <cellStyle name="หมายเหตุ" xfId="4487"/>
    <cellStyle name="หัวเรื่อง 1" xfId="4488"/>
    <cellStyle name="หัวเรื่อง 2" xfId="4489"/>
    <cellStyle name="หัวเรื่อง 3" xfId="4490"/>
    <cellStyle name="หัวเรื่อง 4" xfId="4491"/>
    <cellStyle name="??? [0.00]_2???-R1" xfId="733"/>
    <cellStyle name="???_2???-R1" xfId="734"/>
    <cellStyle name=" [0.00]_ Att. 1- Cover" xfId="735"/>
    <cellStyle name="_ Att. 1- Cover" xfId="736"/>
    <cellStyle name="?_ Att. 1- Cover" xfId="737"/>
    <cellStyle name="" xfId="738"/>
    <cellStyle name="遽_CABLE SCHEDULE (2)" xfId="739"/>
    <cellStyle name="뒤에 오는 하이퍼링크_IIP-Indirect Vehicle Schedule" xfId="740"/>
    <cellStyle name="뷭?_BOOKSHIP_건설 " xfId="741"/>
    <cellStyle name="지정되지 않음" xfId="742"/>
    <cellStyle name="콤마 [0]_ 비목별 월별기술 " xfId="743"/>
    <cellStyle name="콤마_ 비목별 월별기술 " xfId="744"/>
    <cellStyle name="표준_~1911917" xfId="745"/>
    <cellStyle name="하이퍼링크_IIP-Indirect Vehicle Schedule" xfId="746"/>
    <cellStyle name="一般_061139 MH Summary from Aug 1st to Dec 25th" xfId="747"/>
    <cellStyle name="中原専用" xfId="748"/>
    <cellStyle name="中等" xfId="749"/>
    <cellStyle name="備註" xfId="750"/>
    <cellStyle name="千位[0]_laroux" xfId="751"/>
    <cellStyle name="千位_laroux" xfId="752"/>
    <cellStyle name="千位分隔_PS 1600 01" xfId="753"/>
    <cellStyle name="千分位[0]_067449 MH Summary from Aug 1st to Dec 25th" xfId="754"/>
    <cellStyle name="千分位_Break down insrument list and glassware for PTT Phenol project1" xfId="755"/>
    <cellStyle name="合計" xfId="756"/>
    <cellStyle name="壞" xfId="757"/>
    <cellStyle name="好" xfId="758"/>
    <cellStyle name="寘嬫愗傝 [0.00]_2幮尒愊-R1" xfId="759"/>
    <cellStyle name="寘嬫愗傝_2幮尒愊-R1" xfId="760"/>
    <cellStyle name="巍葆 [0]_M105CDT " xfId="761"/>
    <cellStyle name="巍葆_M105CDT " xfId="762"/>
    <cellStyle name="常?_ANNEX 3 TABLE 2 (FWBS8000)" xfId="763"/>
    <cellStyle name="常规_A (Equipment Hoisting) (1)" xfId="764"/>
    <cellStyle name="忢?_ANNEX 3 TABLE 1 (FWBS7000-8000)" xfId="765"/>
    <cellStyle name="愮埵[0]_laroux" xfId="766"/>
    <cellStyle name="愮埵_laroux" xfId="767"/>
    <cellStyle name="愮埵暘妘[0]_ANNEX 3 TABLE 1 (FWBS7000-8000)" xfId="768"/>
    <cellStyle name="愮埵暘妘_ANNEX 3 TABLE 1 (FWBS7000-8000)" xfId="769"/>
    <cellStyle name="捠壿 [0.00]_2幮尒愊-R1" xfId="770"/>
    <cellStyle name="捠壿_2幮尒愊-R1" xfId="771"/>
    <cellStyle name="昗?_laroux" xfId="772"/>
    <cellStyle name="昗弨_ BQ-B3000,4000(shelter)" xfId="773"/>
    <cellStyle name="普通_主菜单" xfId="774"/>
    <cellStyle name="未定義" xfId="94"/>
    <cellStyle name="未定義 2" xfId="2452"/>
    <cellStyle name="未定義 3" xfId="2453"/>
    <cellStyle name="枹掕媊" xfId="775"/>
    <cellStyle name="桁区切り [0.00]_BOEKI" xfId="776"/>
    <cellStyle name="桁区切り_laroux" xfId="777"/>
    <cellStyle name="標準_(E)" xfId="778"/>
    <cellStyle name="標題" xfId="779"/>
    <cellStyle name="標題 1" xfId="780"/>
    <cellStyle name="標題 2" xfId="781"/>
    <cellStyle name="標題 3" xfId="782"/>
    <cellStyle name="標題 4" xfId="783"/>
    <cellStyle name="檢查儲存格" xfId="784"/>
    <cellStyle name="瀞??" xfId="785"/>
    <cellStyle name="烹拳 [0]_capa8x16x" xfId="786"/>
    <cellStyle name="烹拳_capa8x16x" xfId="787"/>
    <cellStyle name="計算方式" xfId="788"/>
    <cellStyle name="說明文字" xfId="789"/>
    <cellStyle name="警告文字" xfId="790"/>
    <cellStyle name="貨幣[0]_AO" xfId="791"/>
    <cellStyle name="輔色1" xfId="792"/>
    <cellStyle name="輔色2" xfId="793"/>
    <cellStyle name="輔色3" xfId="794"/>
    <cellStyle name="輔色4" xfId="795"/>
    <cellStyle name="輔色5" xfId="796"/>
    <cellStyle name="輔色6" xfId="797"/>
    <cellStyle name="輸入" xfId="798"/>
    <cellStyle name="輸出" xfId="799"/>
    <cellStyle name="通貨 [0.00]_BOEKI" xfId="800"/>
    <cellStyle name="通貨_C-SHT(General_Plot_Plan)" xfId="801"/>
    <cellStyle name="連結的儲存格" xfId="802"/>
    <cellStyle name="钎霖_10岿 夯何" xfId="803"/>
    <cellStyle name="霓付 [0]_capa8x16x" xfId="804"/>
    <cellStyle name="霓付_capa8x16x" xfId="805"/>
    <cellStyle name="鱔 [0]_laroux_1_laroux_識啗 " xfId="806"/>
    <cellStyle name="鱔_laroux_1_laroux_識啗 " xfId="807"/>
  </cellStyles>
  <dxfs count="1">
    <dxf>
      <fill>
        <patternFill>
          <bgColor rgb="FF00B0F0"/>
        </patternFill>
      </fill>
    </dxf>
  </dxfs>
  <tableStyles count="0" defaultTableStyle="TableStyleMedium9" defaultPivotStyle="PivotStyleLight16"/>
  <colors>
    <mruColors>
      <color rgb="FF00CC00"/>
      <color rgb="FF9966FF"/>
      <color rgb="FF99FF99"/>
      <color rgb="FFFF33CC"/>
      <color rgb="FFFFFF99"/>
      <color rgb="FFFFCCCC"/>
      <color rgb="FFCCFFFF"/>
      <color rgb="FFFFFFCC"/>
      <color rgb="FF66FF66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styles" Target="styles.xml"/><Relationship Id="rId48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742950</xdr:colOff>
      <xdr:row>1</xdr:row>
      <xdr:rowOff>15875</xdr:rowOff>
    </xdr:from>
    <xdr:to>
      <xdr:col>21</xdr:col>
      <xdr:colOff>6350</xdr:colOff>
      <xdr:row>4</xdr:row>
      <xdr:rowOff>47625</xdr:rowOff>
    </xdr:to>
    <xdr:pic>
      <xdr:nvPicPr>
        <xdr:cNvPr id="1025" name="Object 3">
          <a:extLst>
            <a:ext uri="{FF2B5EF4-FFF2-40B4-BE49-F238E27FC236}">
              <a16:creationId xmlns:a16="http://schemas.microsoft.com/office/drawing/2014/main" xmlns="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11075" y="317500"/>
          <a:ext cx="1835150" cy="63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104775</xdr:rowOff>
        </xdr:from>
        <xdr:to>
          <xdr:col>1</xdr:col>
          <xdr:colOff>1838325</xdr:colOff>
          <xdr:row>3</xdr:row>
          <xdr:rowOff>47625</xdr:rowOff>
        </xdr:to>
        <xdr:sp macro="" textlink="">
          <xdr:nvSpPr>
            <xdr:cNvPr id="2049" name="Object 3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142875</xdr:colOff>
          <xdr:row>94</xdr:row>
          <xdr:rowOff>66675</xdr:rowOff>
        </xdr:from>
        <xdr:to>
          <xdr:col>1</xdr:col>
          <xdr:colOff>1647825</xdr:colOff>
          <xdr:row>97</xdr:row>
          <xdr:rowOff>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0</xdr:col>
      <xdr:colOff>272144</xdr:colOff>
      <xdr:row>62</xdr:row>
      <xdr:rowOff>13609</xdr:rowOff>
    </xdr:from>
    <xdr:to>
      <xdr:col>0</xdr:col>
      <xdr:colOff>462643</xdr:colOff>
      <xdr:row>63</xdr:row>
      <xdr:rowOff>5989</xdr:rowOff>
    </xdr:to>
    <xdr:sp macro="" textlink="">
      <xdr:nvSpPr>
        <xdr:cNvPr id="2" name="Cross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SpPr/>
      </xdr:nvSpPr>
      <xdr:spPr>
        <a:xfrm>
          <a:off x="272144" y="9756323"/>
          <a:ext cx="190499" cy="182880"/>
        </a:xfrm>
        <a:prstGeom prst="plus">
          <a:avLst>
            <a:gd name="adj" fmla="val 34919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326570</xdr:colOff>
      <xdr:row>46</xdr:row>
      <xdr:rowOff>81643</xdr:rowOff>
    </xdr:from>
    <xdr:to>
      <xdr:col>0</xdr:col>
      <xdr:colOff>503464</xdr:colOff>
      <xdr:row>46</xdr:row>
      <xdr:rowOff>136071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326570" y="6966857"/>
          <a:ext cx="176894" cy="544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288470</xdr:colOff>
      <xdr:row>68</xdr:row>
      <xdr:rowOff>111578</xdr:rowOff>
    </xdr:from>
    <xdr:to>
      <xdr:col>0</xdr:col>
      <xdr:colOff>465364</xdr:colOff>
      <xdr:row>68</xdr:row>
      <xdr:rowOff>166006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SpPr/>
      </xdr:nvSpPr>
      <xdr:spPr>
        <a:xfrm>
          <a:off x="288470" y="10861221"/>
          <a:ext cx="176894" cy="544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288470</xdr:colOff>
      <xdr:row>76</xdr:row>
      <xdr:rowOff>111578</xdr:rowOff>
    </xdr:from>
    <xdr:to>
      <xdr:col>0</xdr:col>
      <xdr:colOff>465364</xdr:colOff>
      <xdr:row>76</xdr:row>
      <xdr:rowOff>166006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SpPr/>
      </xdr:nvSpPr>
      <xdr:spPr>
        <a:xfrm>
          <a:off x="288470" y="10861221"/>
          <a:ext cx="176894" cy="544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288470</xdr:colOff>
      <xdr:row>63</xdr:row>
      <xdr:rowOff>97980</xdr:rowOff>
    </xdr:from>
    <xdr:to>
      <xdr:col>0</xdr:col>
      <xdr:colOff>465364</xdr:colOff>
      <xdr:row>63</xdr:row>
      <xdr:rowOff>152408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SpPr/>
      </xdr:nvSpPr>
      <xdr:spPr>
        <a:xfrm>
          <a:off x="288470" y="10031194"/>
          <a:ext cx="176894" cy="544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_ca_227\ca\CA\monthlyoct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_ca_227\ca\CA\monthly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ONTHLY.xlw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_ca_122\Budget\CA%20PLANT%201\Budget\Budget2000\Budget99\Budget99\WINDOWS\Desktop\s.work\MONTHDAT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_ca_227\ca\CA\a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Kay/01_Work%20Phenol/1.%20Planning%20(Phenol%20&amp;%20BPA)/BPA/BPA%20production-plan/20130102%20BPA%20Production%20Plan%20Jan13%20Rev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Actual%20Month%20Production/Production%20information%20Y13/Act%20Phenol%20Production%20Report%20Oct%20R.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6005863.PTTGC/AppData/Local/Microsoft/Windows/Temporary%20Internet%20Files/Content.Outlook/XE1SGSGM/Actual%20Production_Phenol%231%232_Jul17%20R.2%20(Kae)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6005863/AppData/Local/Microsoft/Windows/INetCache/Content.Outlook/N61NV914/Draft%20Actual%20Production_BPA_Dec%2019%20R.0%20(005)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pcl510093.PTTGC/AppData/Local/Microsoft/Windows/Temporary%20Internet%20Files/Content.Outlook/N8Z5YWGY/Draft%2028d%20Actual%20Phenol%20Production%20Report%20Ap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pcl510093.PTTGC/AppData/Local/Microsoft/Windows/Temporary%20Internet%20Files/Content.Outlook/N8Z5YWGY/Modify%20201310%20BPA%20Production%20Monthly%20Report%20Oct%202013%20rev%201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pcl550011.PTTGC/AppData/Local/Microsoft/Windows/Temporary%20Internet%20Files/Content.Outlook/AZZBHLFZ/Actual%20BPA%20Production%20Monthly%20Report%20May%2014%20edit%20by%20PTP%20(3)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260143/Local%20Settings/Temporary%20Internet%20Files/OLKA0/&#3588;&#3623;&#3634;&#3617;&#3648;&#3626;&#3637;&#3656;&#3618;&#3591;%20PTTCH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420062/Local%20Settings/Temporary%20Internet%20Files/OLK1/&#3610;&#3629;/&#3585;&#3612;&#3597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420062/My%20Documents/Supakarn/2550/RM/&#3649;&#3610;&#3610;&#3615;&#3629;&#3619;&#3660;&#3617;%20RMC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Kay/Work%20Phenol/1.%20Planning%20(Phenol%20&amp;%20BPA)/BPA/BPA%20production-plan/20120703%20BPA%20Production%20Plan%20Jul12%20Rev0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420062/Local%20Settings/Temporary%20Internet%20Files/OLK1/Monthly%20Report%20Risk%202006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420062/My%20Documents/Supakarn/2549/RM/Risk%20Profile%202006/Risk%20&#3608;&#3585;&#3611;%202006%20(&#3626;&#3656;&#3591;%20&#3610;&#3629;.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Module1"/>
      <sheetName val="บอร์ด"/>
      <sheetName val="SAP"/>
      <sheetName val="Key-Electrolyzer"/>
      <sheetName val="key-Data-Allcells"/>
      <sheetName val="MainDaily"/>
      <sheetName val="Daily"/>
      <sheetName val="Daily-Edit"/>
      <sheetName val="Weekly"/>
      <sheetName val="Budget04"/>
      <sheetName val="MainMonth"/>
      <sheetName val="Blance"/>
      <sheetName val="Paper"/>
      <sheetName val="Pa1"/>
      <sheetName val="Pa2"/>
      <sheetName val="Pa3"/>
      <sheetName val="Pa4"/>
      <sheetName val="Pa5"/>
      <sheetName val="Pa6"/>
      <sheetName val="Pa7"/>
      <sheetName val="Pa8"/>
      <sheetName val="Pa9"/>
      <sheetName val="Pa10"/>
      <sheetName val="Pa11"/>
      <sheetName val="Pa12"/>
      <sheetName val="Pa13"/>
      <sheetName val="Pa14"/>
      <sheetName val="Pa15"/>
      <sheetName val="Pa16"/>
      <sheetName val="Pa17-1"/>
      <sheetName val="Pa17-2"/>
      <sheetName val="Pa17-3"/>
      <sheetName val="Pa18"/>
      <sheetName val="Pa19-1"/>
      <sheetName val="Pa19-2"/>
      <sheetName val="Pa19-3"/>
      <sheetName val="Pa19-4"/>
      <sheetName val="Pa20"/>
      <sheetName val="Pa21"/>
      <sheetName val="Pa22"/>
      <sheetName val="Pa23"/>
      <sheetName val="Pa24-1"/>
      <sheetName val="Pa24-2"/>
      <sheetName val="Atta1"/>
      <sheetName val="Atta2"/>
      <sheetName val="Atta3"/>
      <sheetName val="Atta4"/>
      <sheetName val="Key-Data-Sheet"/>
      <sheetName val="Allcells-Unit"/>
      <sheetName val="Allcells-Day"/>
      <sheetName val="monthlyoc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PERFORM"/>
      <sheetName val="EFF1"/>
      <sheetName val="EI-HIS4"/>
      <sheetName val="LOSS"/>
      <sheetName val="REPORT"/>
      <sheetName val="TRAIN"/>
      <sheetName val="MANPOWER"/>
      <sheetName val="PROBLEM"/>
      <sheetName val="NACL"/>
      <sheetName val="REMEM"/>
      <sheetName val="Spare Parts A"/>
      <sheetName val="Spare Parts B"/>
      <sheetName val="CONSUME"/>
      <sheetName val="PART11"/>
      <sheetName val="sap"/>
      <sheetName val="Reference"/>
    </sheetNames>
    <sheetDataSet>
      <sheetData sheetId="0" refreshError="1">
        <row r="1">
          <cell r="C1" t="str">
            <v>cl</v>
          </cell>
        </row>
        <row r="6">
          <cell r="A6">
            <v>71000147</v>
          </cell>
          <cell r="E6">
            <v>61018.770999999993</v>
          </cell>
          <cell r="G6">
            <v>32327.825695364234</v>
          </cell>
        </row>
        <row r="8">
          <cell r="A8">
            <v>71000147</v>
          </cell>
          <cell r="E8">
            <v>939.87899999999991</v>
          </cell>
          <cell r="G8">
            <v>497.94913907284757</v>
          </cell>
        </row>
        <row r="9">
          <cell r="A9">
            <v>71000147</v>
          </cell>
          <cell r="E9">
            <v>19067.600999999999</v>
          </cell>
          <cell r="G9">
            <v>10102.040264900663</v>
          </cell>
        </row>
        <row r="10">
          <cell r="A10">
            <v>71000147</v>
          </cell>
        </row>
        <row r="11">
          <cell r="A11">
            <v>71000147</v>
          </cell>
        </row>
        <row r="20">
          <cell r="A20" t="str">
            <v>Total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ONTROL"/>
    </sheetNames>
    <sheetDataSet>
      <sheetData sheetId="0" refreshError="1">
        <row r="7">
          <cell r="A7">
            <v>1</v>
          </cell>
          <cell r="D7">
            <v>138.92760863199999</v>
          </cell>
        </row>
        <row r="8">
          <cell r="A8">
            <v>2</v>
          </cell>
          <cell r="D8">
            <v>136.74741350399998</v>
          </cell>
        </row>
        <row r="9">
          <cell r="A9">
            <v>3</v>
          </cell>
          <cell r="D9">
            <v>137.87048779400001</v>
          </cell>
        </row>
        <row r="10">
          <cell r="A10">
            <v>4</v>
          </cell>
          <cell r="D10">
            <v>137.45294779199997</v>
          </cell>
        </row>
        <row r="11">
          <cell r="A11">
            <v>5</v>
          </cell>
          <cell r="D11">
            <v>137.53556995199997</v>
          </cell>
        </row>
        <row r="12">
          <cell r="A12">
            <v>6</v>
          </cell>
          <cell r="D12">
            <v>134.89698895199999</v>
          </cell>
        </row>
        <row r="13">
          <cell r="A13">
            <v>7</v>
          </cell>
          <cell r="D13">
            <v>134.40600302399997</v>
          </cell>
        </row>
        <row r="14">
          <cell r="A14">
            <v>8</v>
          </cell>
          <cell r="D14">
            <v>138.15383950999998</v>
          </cell>
        </row>
        <row r="15">
          <cell r="A15">
            <v>9</v>
          </cell>
          <cell r="D15">
            <v>138.10634611200001</v>
          </cell>
        </row>
        <row r="16">
          <cell r="A16">
            <v>10</v>
          </cell>
          <cell r="D16">
            <v>139.39497813599999</v>
          </cell>
        </row>
        <row r="17">
          <cell r="A17">
            <v>11</v>
          </cell>
          <cell r="D17">
            <v>138.09046310799999</v>
          </cell>
        </row>
        <row r="18">
          <cell r="A18">
            <v>12</v>
          </cell>
          <cell r="D18">
            <v>137.50038954000001</v>
          </cell>
        </row>
        <row r="19">
          <cell r="A19">
            <v>13</v>
          </cell>
          <cell r="D19">
            <v>137.79735616800002</v>
          </cell>
        </row>
        <row r="20">
          <cell r="A20">
            <v>14</v>
          </cell>
          <cell r="D20">
            <v>137.48232537600001</v>
          </cell>
        </row>
        <row r="21">
          <cell r="A21">
            <v>15</v>
          </cell>
          <cell r="D21">
            <v>137.28040872000003</v>
          </cell>
        </row>
        <row r="22">
          <cell r="A22">
            <v>16</v>
          </cell>
          <cell r="D22">
            <v>138.04007761599999</v>
          </cell>
        </row>
        <row r="23">
          <cell r="A23">
            <v>17</v>
          </cell>
          <cell r="D23">
            <v>137.10604661600001</v>
          </cell>
        </row>
        <row r="24">
          <cell r="A24">
            <v>18</v>
          </cell>
          <cell r="D24">
            <v>137.26817171999997</v>
          </cell>
        </row>
        <row r="25">
          <cell r="A25">
            <v>19</v>
          </cell>
          <cell r="D25">
            <v>136.05883275599999</v>
          </cell>
        </row>
        <row r="26">
          <cell r="A26">
            <v>20</v>
          </cell>
          <cell r="D26">
            <v>136.11289140000002</v>
          </cell>
        </row>
        <row r="27">
          <cell r="A27">
            <v>21</v>
          </cell>
          <cell r="D27">
            <v>136.23860224000001</v>
          </cell>
        </row>
        <row r="28">
          <cell r="A28">
            <v>22</v>
          </cell>
          <cell r="D28">
            <v>136.38422657999999</v>
          </cell>
        </row>
        <row r="29">
          <cell r="A29">
            <v>23</v>
          </cell>
          <cell r="D29">
            <v>136.38422657999999</v>
          </cell>
        </row>
        <row r="30">
          <cell r="A30">
            <v>24</v>
          </cell>
          <cell r="D30">
            <v>136.66937025000001</v>
          </cell>
        </row>
        <row r="31">
          <cell r="A31">
            <v>25</v>
          </cell>
          <cell r="D31">
            <v>136.194625992</v>
          </cell>
        </row>
        <row r="32">
          <cell r="A32">
            <v>26</v>
          </cell>
          <cell r="D32">
            <v>136.189530464</v>
          </cell>
        </row>
        <row r="33">
          <cell r="A33">
            <v>27</v>
          </cell>
          <cell r="D33">
            <v>137.28040872000003</v>
          </cell>
        </row>
        <row r="34">
          <cell r="A34">
            <v>28</v>
          </cell>
          <cell r="D34">
            <v>137.28040872000003</v>
          </cell>
        </row>
        <row r="35">
          <cell r="A35">
            <v>29</v>
          </cell>
          <cell r="D35">
            <v>137.28040872000003</v>
          </cell>
        </row>
        <row r="36">
          <cell r="A36">
            <v>30</v>
          </cell>
          <cell r="D36">
            <v>137.28040872000003</v>
          </cell>
        </row>
        <row r="37">
          <cell r="A37">
            <v>31</v>
          </cell>
          <cell r="D37">
            <v>137.28040872000003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ROBUD (3)"/>
      <sheetName val="EI-HIS4"/>
      <sheetName val="EI-HIS4 (CK)"/>
      <sheetName val="EFF1"/>
      <sheetName val="EFF1 (CK)"/>
      <sheetName val="PERFORM"/>
      <sheetName val="LOSS"/>
      <sheetName val="HYDROGEN"/>
    </sheetNames>
    <sheetDataSet>
      <sheetData sheetId="0" refreshError="1"/>
      <sheetData sheetId="1" refreshError="1"/>
      <sheetData sheetId="2" refreshError="1">
        <row r="8">
          <cell r="R8">
            <v>80.837999999999994</v>
          </cell>
          <cell r="T8">
            <v>30.533333333333335</v>
          </cell>
          <cell r="U8">
            <v>17.952380952380953</v>
          </cell>
        </row>
        <row r="9">
          <cell r="R9">
            <v>80.837999999999994</v>
          </cell>
          <cell r="T9">
            <v>28.466666666666665</v>
          </cell>
          <cell r="U9">
            <v>17.952380952380953</v>
          </cell>
        </row>
        <row r="10">
          <cell r="A10" t="str">
            <v>1</v>
          </cell>
          <cell r="M10">
            <v>90.734713866333351</v>
          </cell>
          <cell r="R10">
            <v>80.837999999999994</v>
          </cell>
          <cell r="T10">
            <v>23.166666666666668</v>
          </cell>
          <cell r="U10">
            <v>17.952380952380953</v>
          </cell>
        </row>
        <row r="11">
          <cell r="A11" t="str">
            <v>2</v>
          </cell>
          <cell r="M11">
            <v>92.327890393535256</v>
          </cell>
          <cell r="R11">
            <v>80.837999999999994</v>
          </cell>
          <cell r="T11">
            <v>15.233333333333333</v>
          </cell>
          <cell r="U11">
            <v>17.952380952380953</v>
          </cell>
        </row>
        <row r="12">
          <cell r="A12" t="str">
            <v>3</v>
          </cell>
          <cell r="M12">
            <v>93.921430788256501</v>
          </cell>
          <cell r="R12">
            <v>80.837999999999994</v>
          </cell>
          <cell r="T12">
            <v>33.033333333333331</v>
          </cell>
          <cell r="U12">
            <v>17.952380952380953</v>
          </cell>
        </row>
        <row r="13">
          <cell r="A13" t="str">
            <v>4</v>
          </cell>
          <cell r="M13">
            <v>92.92925906958898</v>
          </cell>
          <cell r="R13">
            <v>80.837999999999994</v>
          </cell>
          <cell r="U13">
            <v>17.952380952380953</v>
          </cell>
        </row>
        <row r="14">
          <cell r="A14" t="str">
            <v>5</v>
          </cell>
          <cell r="M14">
            <v>90.843923206860069</v>
          </cell>
          <cell r="R14">
            <v>80.837999999999994</v>
          </cell>
          <cell r="T14">
            <v>28.933333333333334</v>
          </cell>
          <cell r="U14">
            <v>17.952380952380953</v>
          </cell>
        </row>
        <row r="15">
          <cell r="A15" t="str">
            <v>6</v>
          </cell>
          <cell r="M15" t="str">
            <v xml:space="preserve">- </v>
          </cell>
          <cell r="R15">
            <v>80.837999999999994</v>
          </cell>
          <cell r="T15">
            <v>13.1</v>
          </cell>
          <cell r="U15">
            <v>17.952380952380953</v>
          </cell>
        </row>
        <row r="16">
          <cell r="A16" t="str">
            <v>7</v>
          </cell>
          <cell r="M16">
            <v>92.514803294575898</v>
          </cell>
          <cell r="R16">
            <v>80.837999999999994</v>
          </cell>
          <cell r="T16">
            <v>28.7</v>
          </cell>
          <cell r="U16">
            <v>17.952380952380953</v>
          </cell>
        </row>
        <row r="17">
          <cell r="A17" t="str">
            <v>8</v>
          </cell>
          <cell r="M17">
            <v>94.76139191621418</v>
          </cell>
          <cell r="R17">
            <v>80.837999999999994</v>
          </cell>
          <cell r="T17">
            <v>4.8666666666666671</v>
          </cell>
          <cell r="U17">
            <v>17.952380952380953</v>
          </cell>
        </row>
        <row r="18">
          <cell r="A18" t="str">
            <v>9</v>
          </cell>
          <cell r="M18">
            <v>88.926524860763905</v>
          </cell>
          <cell r="R18">
            <v>80.837999999999994</v>
          </cell>
          <cell r="T18">
            <v>11.1</v>
          </cell>
          <cell r="U18">
            <v>17.952380952380953</v>
          </cell>
        </row>
        <row r="19">
          <cell r="A19" t="str">
            <v>10</v>
          </cell>
          <cell r="M19">
            <v>92.69048776159525</v>
          </cell>
          <cell r="R19">
            <v>80.837999999999994</v>
          </cell>
          <cell r="T19">
            <v>27.366666666666667</v>
          </cell>
          <cell r="U19">
            <v>17.952380952380953</v>
          </cell>
        </row>
        <row r="20">
          <cell r="A20" t="str">
            <v>11</v>
          </cell>
          <cell r="M20">
            <v>0</v>
          </cell>
          <cell r="R20">
            <v>80.837999999999994</v>
          </cell>
          <cell r="T20">
            <v>27.1</v>
          </cell>
          <cell r="U20">
            <v>17.952380952380953</v>
          </cell>
        </row>
        <row r="21">
          <cell r="A21" t="str">
            <v>12</v>
          </cell>
          <cell r="M21">
            <v>0</v>
          </cell>
          <cell r="R21">
            <v>80.837999999999994</v>
          </cell>
          <cell r="T21">
            <v>30.533333333333335</v>
          </cell>
          <cell r="U21">
            <v>17.952380952380953</v>
          </cell>
        </row>
        <row r="22">
          <cell r="A22" t="str">
            <v>13</v>
          </cell>
          <cell r="M22">
            <v>95.684803915865359</v>
          </cell>
          <cell r="R22">
            <v>80.837999999999994</v>
          </cell>
          <cell r="T22">
            <v>5.0666666666666664</v>
          </cell>
          <cell r="U22">
            <v>17.952380952380953</v>
          </cell>
        </row>
        <row r="23">
          <cell r="A23" t="str">
            <v>14</v>
          </cell>
          <cell r="M23">
            <v>95.203827044660187</v>
          </cell>
          <cell r="R23">
            <v>80.837999999999994</v>
          </cell>
          <cell r="T23">
            <v>21.633333333333333</v>
          </cell>
          <cell r="U23">
            <v>17.952380952380953</v>
          </cell>
        </row>
        <row r="24">
          <cell r="A24" t="str">
            <v>15</v>
          </cell>
          <cell r="M24">
            <v>95.771989650741233</v>
          </cell>
          <cell r="R24">
            <v>80.837999999999994</v>
          </cell>
          <cell r="T24">
            <v>17.2</v>
          </cell>
          <cell r="U24">
            <v>17.952380952380953</v>
          </cell>
        </row>
        <row r="25">
          <cell r="A25" t="str">
            <v>16</v>
          </cell>
          <cell r="M25">
            <v>93.152106586651939</v>
          </cell>
          <cell r="R25">
            <v>80.837999999999994</v>
          </cell>
          <cell r="T25">
            <v>25.7</v>
          </cell>
          <cell r="U25">
            <v>17.952380952380953</v>
          </cell>
        </row>
        <row r="26">
          <cell r="A26" t="str">
            <v>17</v>
          </cell>
          <cell r="M26">
            <v>92.949447735015397</v>
          </cell>
          <cell r="R26">
            <v>80.837999999999994</v>
          </cell>
          <cell r="T26">
            <v>0.8666666666666667</v>
          </cell>
          <cell r="U26">
            <v>17.952380952380953</v>
          </cell>
        </row>
        <row r="27">
          <cell r="A27" t="str">
            <v>18</v>
          </cell>
          <cell r="M27">
            <v>93.541426279088427</v>
          </cell>
          <cell r="R27">
            <v>80.837999999999994</v>
          </cell>
          <cell r="T27">
            <v>26.4</v>
          </cell>
          <cell r="U27">
            <v>17.952380952380953</v>
          </cell>
        </row>
        <row r="28">
          <cell r="A28" t="str">
            <v>19</v>
          </cell>
          <cell r="M28">
            <v>93.435111104656698</v>
          </cell>
          <cell r="R28">
            <v>80.837999999999994</v>
          </cell>
          <cell r="T28">
            <v>7.4333333333333336</v>
          </cell>
          <cell r="U28">
            <v>17.952380952380953</v>
          </cell>
        </row>
        <row r="29">
          <cell r="A29" t="str">
            <v>20</v>
          </cell>
          <cell r="M29">
            <v>93.245508769490129</v>
          </cell>
          <cell r="R29">
            <v>80.837999999999994</v>
          </cell>
          <cell r="U29">
            <v>17.952380952380953</v>
          </cell>
        </row>
        <row r="30">
          <cell r="A30" t="str">
            <v>21</v>
          </cell>
          <cell r="M30">
            <v>91.617998865763624</v>
          </cell>
          <cell r="R30">
            <v>80.837999999999994</v>
          </cell>
          <cell r="T30">
            <v>4.5666666666666664</v>
          </cell>
          <cell r="U30">
            <v>17.952380952380953</v>
          </cell>
        </row>
        <row r="31">
          <cell r="A31" t="str">
            <v>22</v>
          </cell>
          <cell r="M31" t="str">
            <v xml:space="preserve">- </v>
          </cell>
          <cell r="R31">
            <v>80.837999999999994</v>
          </cell>
          <cell r="T31">
            <v>10.966666666666667</v>
          </cell>
          <cell r="U31">
            <v>17.952380952380953</v>
          </cell>
        </row>
        <row r="32">
          <cell r="A32" t="str">
            <v>23</v>
          </cell>
          <cell r="M32">
            <v>94.645032056636239</v>
          </cell>
          <cell r="R32">
            <v>80.837999999999994</v>
          </cell>
          <cell r="T32">
            <v>2.1</v>
          </cell>
          <cell r="U32">
            <v>17.952380952380953</v>
          </cell>
        </row>
        <row r="33">
          <cell r="A33" t="str">
            <v>24</v>
          </cell>
          <cell r="M33">
            <v>94.504183075321208</v>
          </cell>
          <cell r="R33">
            <v>80.837999999999994</v>
          </cell>
          <cell r="T33">
            <v>14.6</v>
          </cell>
          <cell r="U33">
            <v>17.952380952380953</v>
          </cell>
        </row>
        <row r="34">
          <cell r="A34" t="str">
            <v>25</v>
          </cell>
          <cell r="M34">
            <v>93.797893779012853</v>
          </cell>
          <cell r="R34">
            <v>80.837999999999994</v>
          </cell>
          <cell r="T34">
            <v>0.2</v>
          </cell>
          <cell r="U34">
            <v>17.952380952380953</v>
          </cell>
        </row>
        <row r="35">
          <cell r="A35" t="str">
            <v>26</v>
          </cell>
          <cell r="M35">
            <v>93.167755050717986</v>
          </cell>
          <cell r="R35">
            <v>80.837999999999994</v>
          </cell>
          <cell r="T35">
            <v>0.8666666666666667</v>
          </cell>
          <cell r="U35">
            <v>17.952380952380953</v>
          </cell>
        </row>
        <row r="36">
          <cell r="A36" t="str">
            <v>27</v>
          </cell>
          <cell r="M36">
            <v>97.537751120283701</v>
          </cell>
          <cell r="R36">
            <v>80.837999999999994</v>
          </cell>
          <cell r="T36">
            <v>24.333333333333332</v>
          </cell>
          <cell r="U36">
            <v>17.952380952380953</v>
          </cell>
        </row>
        <row r="37">
          <cell r="A37" t="str">
            <v>28</v>
          </cell>
          <cell r="M37">
            <v>96.349117732410917</v>
          </cell>
          <cell r="R37">
            <v>80.837999999999994</v>
          </cell>
          <cell r="T37">
            <v>38.6</v>
          </cell>
          <cell r="U37">
            <v>17.952380952380953</v>
          </cell>
        </row>
        <row r="38">
          <cell r="A38" t="str">
            <v>29</v>
          </cell>
          <cell r="M38">
            <v>90.98544058073368</v>
          </cell>
        </row>
        <row r="39">
          <cell r="A39" t="str">
            <v>30</v>
          </cell>
          <cell r="M39">
            <v>89.905836181640609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ap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treive Raw data"/>
      <sheetName val="tank %"/>
      <sheetName val="Monthly Actual Production"/>
      <sheetName val="Actual Production (Graph)"/>
      <sheetName val="Plan vs. Actual"/>
      <sheetName val="Condensate"/>
      <sheetName val="Utilities (PI)"/>
      <sheetName val="Utilites (Actual)"/>
      <sheetName val="Production Plan Cal"/>
      <sheetName val="Production Plan Val"/>
      <sheetName val="Production Plan Val (R)"/>
      <sheetName val="Monthly Plan1"/>
      <sheetName val="Monthly Plan2"/>
      <sheetName val="Monthly Plan3"/>
      <sheetName val="DT"/>
      <sheetName val="Downtime"/>
      <sheetName val="for meeting"/>
      <sheetName val="Holdup Tank"/>
      <sheetName val="20130102 BPA Production Plan Ja"/>
    </sheetNames>
    <sheetDataSet>
      <sheetData sheetId="0">
        <row r="1">
          <cell r="T1" t="str">
            <v>steam 40HS 2.9 ton/ton BPA</v>
          </cell>
        </row>
        <row r="2">
          <cell r="AF2" t="str">
            <v>Sale</v>
          </cell>
        </row>
        <row r="3">
          <cell r="T3" t="str">
            <v>Total Bag</v>
          </cell>
          <cell r="U3" t="str">
            <v>BPA-Bag
On
Spec</v>
          </cell>
          <cell r="V3" t="str">
            <v>BPA-Bag Off Spec</v>
          </cell>
          <cell r="AF3" t="str">
            <v>Total Bag</v>
          </cell>
        </row>
        <row r="10">
          <cell r="T10" t="str">
            <v>Bag of BPA</v>
          </cell>
          <cell r="U10" t="str">
            <v>on spec</v>
          </cell>
          <cell r="V10" t="str">
            <v>off spec</v>
          </cell>
          <cell r="AF10" t="str">
            <v>Sale</v>
          </cell>
        </row>
        <row r="11">
          <cell r="T11">
            <v>3756.3</v>
          </cell>
          <cell r="U11">
            <v>3518.75</v>
          </cell>
          <cell r="V11">
            <v>237.55000000000007</v>
          </cell>
          <cell r="AF11">
            <v>1020</v>
          </cell>
        </row>
        <row r="12">
          <cell r="T12">
            <v>3494.9</v>
          </cell>
          <cell r="U12">
            <v>3281.35</v>
          </cell>
          <cell r="V12">
            <v>213.55000000000007</v>
          </cell>
          <cell r="AF12">
            <v>608</v>
          </cell>
        </row>
        <row r="13">
          <cell r="T13">
            <v>3850.4</v>
          </cell>
          <cell r="U13">
            <v>3636.85</v>
          </cell>
          <cell r="V13">
            <v>213.55000000000007</v>
          </cell>
          <cell r="AF13">
            <v>0</v>
          </cell>
        </row>
        <row r="14">
          <cell r="T14">
            <v>3021.9</v>
          </cell>
          <cell r="U14">
            <v>2808.35</v>
          </cell>
          <cell r="V14">
            <v>213.55000000000007</v>
          </cell>
          <cell r="AF14">
            <v>1232</v>
          </cell>
        </row>
        <row r="15">
          <cell r="T15">
            <v>3378.9</v>
          </cell>
          <cell r="U15">
            <v>3165.35</v>
          </cell>
          <cell r="V15">
            <v>213.55000000000007</v>
          </cell>
          <cell r="AF15">
            <v>0</v>
          </cell>
        </row>
        <row r="16">
          <cell r="T16">
            <v>3765.9</v>
          </cell>
          <cell r="U16">
            <v>3552.35</v>
          </cell>
          <cell r="V16">
            <v>213.55000000000007</v>
          </cell>
          <cell r="AF16">
            <v>0</v>
          </cell>
        </row>
        <row r="17">
          <cell r="T17">
            <v>4157.3999999999996</v>
          </cell>
          <cell r="U17">
            <v>3942.35</v>
          </cell>
          <cell r="V17">
            <v>215.05000000000007</v>
          </cell>
          <cell r="AF17">
            <v>0</v>
          </cell>
        </row>
        <row r="18">
          <cell r="T18">
            <v>4307.8999999999996</v>
          </cell>
          <cell r="U18">
            <v>4092.85</v>
          </cell>
          <cell r="V18">
            <v>215.05000000000007</v>
          </cell>
          <cell r="AF18">
            <v>208</v>
          </cell>
        </row>
        <row r="19">
          <cell r="T19">
            <v>4144.3999999999996</v>
          </cell>
          <cell r="U19">
            <v>3929.35</v>
          </cell>
          <cell r="V19">
            <v>215.05000000000007</v>
          </cell>
          <cell r="AF19">
            <v>510</v>
          </cell>
        </row>
        <row r="20">
          <cell r="T20">
            <v>4477.4000000000005</v>
          </cell>
          <cell r="U20">
            <v>4262.3500000000004</v>
          </cell>
          <cell r="V20">
            <v>215.05000000000007</v>
          </cell>
          <cell r="AF20">
            <v>0</v>
          </cell>
        </row>
        <row r="21">
          <cell r="T21">
            <v>3313.4</v>
          </cell>
          <cell r="U21">
            <v>3098.35</v>
          </cell>
          <cell r="V21">
            <v>215.05000000000007</v>
          </cell>
          <cell r="AF21">
            <v>1500</v>
          </cell>
        </row>
        <row r="22">
          <cell r="T22">
            <v>3662.9</v>
          </cell>
          <cell r="U22">
            <v>3447.85</v>
          </cell>
          <cell r="V22">
            <v>215.05000000000007</v>
          </cell>
          <cell r="AF22">
            <v>0</v>
          </cell>
        </row>
        <row r="23">
          <cell r="T23">
            <v>3989.15</v>
          </cell>
          <cell r="U23">
            <v>3773.35</v>
          </cell>
          <cell r="V23">
            <v>215.80000000000007</v>
          </cell>
          <cell r="AF23">
            <v>0</v>
          </cell>
        </row>
        <row r="24">
          <cell r="T24">
            <v>4285.1500000000005</v>
          </cell>
          <cell r="U24">
            <v>4067.8</v>
          </cell>
          <cell r="V24">
            <v>217.35000000000008</v>
          </cell>
          <cell r="AF24">
            <v>0</v>
          </cell>
        </row>
        <row r="25">
          <cell r="T25">
            <v>3940.35</v>
          </cell>
          <cell r="U25">
            <v>3711</v>
          </cell>
          <cell r="V25">
            <v>229.35000000000008</v>
          </cell>
          <cell r="AF25">
            <v>608</v>
          </cell>
        </row>
        <row r="26">
          <cell r="T26">
            <v>3780.7500000000005</v>
          </cell>
          <cell r="U26">
            <v>3549.8</v>
          </cell>
          <cell r="V26">
            <v>230.95000000000007</v>
          </cell>
          <cell r="AF26">
            <v>510</v>
          </cell>
        </row>
        <row r="27">
          <cell r="T27">
            <v>4095.9500000000003</v>
          </cell>
          <cell r="U27">
            <v>3863.4</v>
          </cell>
          <cell r="V27">
            <v>232.55000000000007</v>
          </cell>
          <cell r="AF27">
            <v>0</v>
          </cell>
        </row>
        <row r="28">
          <cell r="T28">
            <v>2428.5499999999997</v>
          </cell>
          <cell r="U28">
            <v>2195.1999999999998</v>
          </cell>
          <cell r="V28">
            <v>233.35000000000008</v>
          </cell>
          <cell r="AF28">
            <v>2025</v>
          </cell>
        </row>
        <row r="29">
          <cell r="T29">
            <v>2671.75</v>
          </cell>
          <cell r="U29">
            <v>2438.4</v>
          </cell>
          <cell r="V29">
            <v>233.35000000000008</v>
          </cell>
          <cell r="AF29">
            <v>0</v>
          </cell>
        </row>
        <row r="30">
          <cell r="T30">
            <v>2978.95</v>
          </cell>
          <cell r="U30">
            <v>2745.6</v>
          </cell>
          <cell r="V30">
            <v>233.35000000000008</v>
          </cell>
          <cell r="AF30">
            <v>0</v>
          </cell>
        </row>
        <row r="31">
          <cell r="T31">
            <v>3284.5499999999997</v>
          </cell>
          <cell r="U31">
            <v>3047.2</v>
          </cell>
          <cell r="V31">
            <v>237.35000000000008</v>
          </cell>
          <cell r="AF31">
            <v>0</v>
          </cell>
        </row>
        <row r="32">
          <cell r="T32">
            <v>3626.1499999999996</v>
          </cell>
          <cell r="U32">
            <v>3388.7999999999997</v>
          </cell>
          <cell r="V32">
            <v>237.35000000000008</v>
          </cell>
          <cell r="AF32">
            <v>0</v>
          </cell>
        </row>
        <row r="33">
          <cell r="T33">
            <v>3923.75</v>
          </cell>
          <cell r="U33">
            <v>3684.7999999999997</v>
          </cell>
          <cell r="V33">
            <v>238.95000000000007</v>
          </cell>
          <cell r="AF33">
            <v>0</v>
          </cell>
        </row>
        <row r="34">
          <cell r="T34">
            <v>4243.75</v>
          </cell>
          <cell r="U34">
            <v>4003.9999999999995</v>
          </cell>
          <cell r="V34">
            <v>239.75000000000009</v>
          </cell>
          <cell r="AF34">
            <v>0</v>
          </cell>
        </row>
        <row r="35">
          <cell r="T35">
            <v>4046.1499999999996</v>
          </cell>
          <cell r="U35">
            <v>3805.5999999999995</v>
          </cell>
          <cell r="V35">
            <v>240.5500000000001</v>
          </cell>
          <cell r="AF35">
            <v>512</v>
          </cell>
        </row>
        <row r="36">
          <cell r="T36">
            <v>4307.75</v>
          </cell>
          <cell r="U36">
            <v>4065.5999999999995</v>
          </cell>
          <cell r="V36">
            <v>242.15000000000009</v>
          </cell>
          <cell r="AF36">
            <v>0</v>
          </cell>
        </row>
        <row r="37">
          <cell r="T37">
            <v>4667.7499999999991</v>
          </cell>
          <cell r="U37">
            <v>4424.7999999999993</v>
          </cell>
          <cell r="V37">
            <v>242.9500000000001</v>
          </cell>
          <cell r="AF37">
            <v>0</v>
          </cell>
        </row>
        <row r="38">
          <cell r="T38">
            <v>4472.1499999999987</v>
          </cell>
          <cell r="U38">
            <v>4229.1999999999989</v>
          </cell>
          <cell r="V38">
            <v>242.9500000000001</v>
          </cell>
          <cell r="AF38">
            <v>510</v>
          </cell>
        </row>
        <row r="39">
          <cell r="T39">
            <v>4769.7499999999991</v>
          </cell>
          <cell r="U39">
            <v>4525.1999999999989</v>
          </cell>
          <cell r="V39">
            <v>244.5500000000001</v>
          </cell>
          <cell r="AF39">
            <v>0</v>
          </cell>
        </row>
        <row r="40">
          <cell r="T40">
            <v>5078.5499999999993</v>
          </cell>
          <cell r="U40">
            <v>4833.1999999999989</v>
          </cell>
          <cell r="V40">
            <v>245.35000000000011</v>
          </cell>
          <cell r="AF40">
            <v>0</v>
          </cell>
        </row>
        <row r="41">
          <cell r="T41">
            <v>5386.5499999999993</v>
          </cell>
          <cell r="U41">
            <v>5141.1999999999989</v>
          </cell>
          <cell r="V41">
            <v>245.35000000000011</v>
          </cell>
          <cell r="AF41">
            <v>0</v>
          </cell>
        </row>
        <row r="42">
          <cell r="T42">
            <v>5110.5499999999993</v>
          </cell>
          <cell r="U42">
            <v>4865.1999999999989</v>
          </cell>
          <cell r="V42">
            <v>245.35000000000011</v>
          </cell>
          <cell r="AF42">
            <v>544</v>
          </cell>
        </row>
        <row r="43">
          <cell r="T43">
            <v>5276.15</v>
          </cell>
          <cell r="U43">
            <v>5030.7999999999993</v>
          </cell>
          <cell r="V43">
            <v>245.35000000000011</v>
          </cell>
          <cell r="AF43">
            <v>0</v>
          </cell>
        </row>
        <row r="44">
          <cell r="T44">
            <v>5657.75</v>
          </cell>
          <cell r="U44">
            <v>5411.5999999999995</v>
          </cell>
          <cell r="V44">
            <v>246.15000000000012</v>
          </cell>
          <cell r="AF44">
            <v>0</v>
          </cell>
        </row>
        <row r="45">
          <cell r="T45">
            <v>5969.75</v>
          </cell>
          <cell r="U45">
            <v>5723.5999999999995</v>
          </cell>
          <cell r="V45">
            <v>246.15000000000012</v>
          </cell>
          <cell r="AF45">
            <v>0</v>
          </cell>
        </row>
        <row r="46">
          <cell r="T46">
            <v>6064.15</v>
          </cell>
          <cell r="U46">
            <v>5817.9999999999991</v>
          </cell>
          <cell r="V46">
            <v>246.15000000000012</v>
          </cell>
          <cell r="AF46">
            <v>208</v>
          </cell>
        </row>
        <row r="47">
          <cell r="T47">
            <v>6064.15</v>
          </cell>
          <cell r="U47">
            <v>5817.9999999999991</v>
          </cell>
          <cell r="V47">
            <v>246.15000000000012</v>
          </cell>
          <cell r="AF47">
            <v>0</v>
          </cell>
        </row>
        <row r="48">
          <cell r="T48">
            <v>6276.9499999999989</v>
          </cell>
          <cell r="U48">
            <v>6029.1999999999989</v>
          </cell>
          <cell r="V48">
            <v>247.75000000000011</v>
          </cell>
          <cell r="AF48">
            <v>0</v>
          </cell>
        </row>
        <row r="49">
          <cell r="T49">
            <v>6566.5499999999993</v>
          </cell>
          <cell r="U49">
            <v>6317.9999999999991</v>
          </cell>
          <cell r="V49">
            <v>248.55000000000013</v>
          </cell>
          <cell r="AF49">
            <v>0</v>
          </cell>
        </row>
        <row r="50">
          <cell r="T50">
            <v>6858.2499999999991</v>
          </cell>
          <cell r="U50">
            <v>6609.6999999999989</v>
          </cell>
          <cell r="V50">
            <v>248.55000000000013</v>
          </cell>
          <cell r="AF50">
            <v>0</v>
          </cell>
        </row>
        <row r="51">
          <cell r="T51">
            <v>7145.1499999999987</v>
          </cell>
          <cell r="U51">
            <v>6896.5999999999985</v>
          </cell>
          <cell r="V51">
            <v>248.55000000000013</v>
          </cell>
          <cell r="AF51">
            <v>0</v>
          </cell>
        </row>
        <row r="52">
          <cell r="T52">
            <v>7398.7499999999991</v>
          </cell>
          <cell r="U52">
            <v>7148.5999999999985</v>
          </cell>
          <cell r="V52">
            <v>250.15000000000012</v>
          </cell>
          <cell r="AF52">
            <v>0</v>
          </cell>
        </row>
        <row r="53">
          <cell r="T53">
            <v>7445.5499999999993</v>
          </cell>
          <cell r="U53">
            <v>7195.3999999999987</v>
          </cell>
          <cell r="V53">
            <v>250.15000000000012</v>
          </cell>
          <cell r="AF53">
            <v>126</v>
          </cell>
        </row>
        <row r="54">
          <cell r="T54">
            <v>6971.5499999999993</v>
          </cell>
          <cell r="U54">
            <v>6721.3999999999987</v>
          </cell>
          <cell r="V54">
            <v>250.15000000000012</v>
          </cell>
          <cell r="AF54">
            <v>474</v>
          </cell>
        </row>
        <row r="55">
          <cell r="T55">
            <v>6715.5499999999993</v>
          </cell>
          <cell r="U55">
            <v>6465.3999999999987</v>
          </cell>
          <cell r="V55">
            <v>250.15000000000012</v>
          </cell>
          <cell r="AF55">
            <v>256</v>
          </cell>
        </row>
        <row r="56">
          <cell r="T56">
            <v>4818.5499999999993</v>
          </cell>
          <cell r="U56">
            <v>4568.3999999999987</v>
          </cell>
          <cell r="V56">
            <v>250.15000000000012</v>
          </cell>
          <cell r="AF56">
            <v>1897</v>
          </cell>
        </row>
        <row r="57">
          <cell r="T57">
            <v>4818.5499999999993</v>
          </cell>
          <cell r="U57">
            <v>4568.3999999999987</v>
          </cell>
          <cell r="V57">
            <v>250.15000000000012</v>
          </cell>
          <cell r="AF57">
            <v>0</v>
          </cell>
        </row>
        <row r="58">
          <cell r="T58">
            <v>4818.5499999999993</v>
          </cell>
          <cell r="U58">
            <v>4568.3999999999987</v>
          </cell>
          <cell r="V58">
            <v>250.15000000000012</v>
          </cell>
          <cell r="AF58">
            <v>0</v>
          </cell>
        </row>
        <row r="59">
          <cell r="T59">
            <v>4818.5499999999993</v>
          </cell>
          <cell r="U59">
            <v>4568.3999999999987</v>
          </cell>
          <cell r="V59">
            <v>250.15000000000012</v>
          </cell>
          <cell r="AF59">
            <v>0</v>
          </cell>
        </row>
        <row r="60">
          <cell r="T60">
            <v>4818.5499999999993</v>
          </cell>
          <cell r="U60">
            <v>4568.3999999999987</v>
          </cell>
          <cell r="V60">
            <v>250.15000000000012</v>
          </cell>
          <cell r="AF60">
            <v>0</v>
          </cell>
        </row>
        <row r="61">
          <cell r="T61">
            <v>4818.5499999999993</v>
          </cell>
          <cell r="U61">
            <v>4568.3999999999987</v>
          </cell>
          <cell r="V61">
            <v>250.15000000000012</v>
          </cell>
          <cell r="AF61">
            <v>0</v>
          </cell>
        </row>
        <row r="62">
          <cell r="T62">
            <v>4818.5499999999993</v>
          </cell>
          <cell r="U62">
            <v>4568.3999999999987</v>
          </cell>
          <cell r="V62">
            <v>250.15000000000012</v>
          </cell>
          <cell r="AF62">
            <v>0</v>
          </cell>
        </row>
        <row r="63">
          <cell r="T63">
            <v>1266.5499999999988</v>
          </cell>
          <cell r="U63">
            <v>1016.3999999999987</v>
          </cell>
          <cell r="V63">
            <v>250.15000000000012</v>
          </cell>
          <cell r="AF63">
            <v>3552</v>
          </cell>
        </row>
        <row r="64">
          <cell r="T64">
            <v>1266.5499999999988</v>
          </cell>
          <cell r="U64">
            <v>1016.3999999999987</v>
          </cell>
          <cell r="V64">
            <v>250.15000000000012</v>
          </cell>
          <cell r="AF64">
            <v>0</v>
          </cell>
        </row>
        <row r="65">
          <cell r="T65">
            <v>1266.5499999999988</v>
          </cell>
          <cell r="U65">
            <v>1016.3999999999987</v>
          </cell>
          <cell r="V65">
            <v>250.15000000000012</v>
          </cell>
          <cell r="AF65">
            <v>0</v>
          </cell>
        </row>
        <row r="66">
          <cell r="T66">
            <v>754.54999999999882</v>
          </cell>
          <cell r="U66">
            <v>504.39999999999873</v>
          </cell>
          <cell r="V66">
            <v>250.15000000000012</v>
          </cell>
          <cell r="AF66">
            <v>512</v>
          </cell>
        </row>
        <row r="67">
          <cell r="T67">
            <v>782.54999999999882</v>
          </cell>
          <cell r="U67">
            <v>532.39999999999873</v>
          </cell>
          <cell r="V67">
            <v>250.15000000000012</v>
          </cell>
          <cell r="AF67">
            <v>0</v>
          </cell>
        </row>
        <row r="68">
          <cell r="T68">
            <v>782.54999999999882</v>
          </cell>
          <cell r="U68">
            <v>532.39999999999873</v>
          </cell>
          <cell r="V68">
            <v>250.15000000000012</v>
          </cell>
          <cell r="AF68">
            <v>0</v>
          </cell>
        </row>
        <row r="69">
          <cell r="T69">
            <v>782.54999999999882</v>
          </cell>
          <cell r="U69">
            <v>532.39999999999873</v>
          </cell>
          <cell r="V69">
            <v>250.15000000000012</v>
          </cell>
          <cell r="AF69">
            <v>0</v>
          </cell>
        </row>
        <row r="70">
          <cell r="T70">
            <v>782.54999999999882</v>
          </cell>
          <cell r="U70">
            <v>532.39999999999873</v>
          </cell>
          <cell r="V70">
            <v>250.15000000000012</v>
          </cell>
          <cell r="AF70">
            <v>0</v>
          </cell>
        </row>
        <row r="71">
          <cell r="T71">
            <v>1183.3499999999988</v>
          </cell>
          <cell r="U71">
            <v>932.39999999999873</v>
          </cell>
          <cell r="V71">
            <v>250.95000000000013</v>
          </cell>
          <cell r="AF71">
            <v>0</v>
          </cell>
        </row>
        <row r="72">
          <cell r="T72">
            <v>1608.9499999999989</v>
          </cell>
          <cell r="U72">
            <v>1349.9999999999986</v>
          </cell>
          <cell r="V72">
            <v>258.95000000000016</v>
          </cell>
          <cell r="AF72">
            <v>0</v>
          </cell>
        </row>
        <row r="73">
          <cell r="T73">
            <v>1999.349999999999</v>
          </cell>
          <cell r="U73">
            <v>1740.3999999999987</v>
          </cell>
          <cell r="V73">
            <v>258.95000000000016</v>
          </cell>
          <cell r="AF73">
            <v>0</v>
          </cell>
        </row>
        <row r="74">
          <cell r="T74">
            <v>2453.7499999999986</v>
          </cell>
          <cell r="U74">
            <v>2193.9999999999986</v>
          </cell>
          <cell r="V74">
            <v>259.75000000000017</v>
          </cell>
          <cell r="AF74">
            <v>0</v>
          </cell>
        </row>
        <row r="75">
          <cell r="T75">
            <v>2950.5499999999993</v>
          </cell>
          <cell r="U75">
            <v>2689.1999999999989</v>
          </cell>
          <cell r="V75">
            <v>261.35000000000019</v>
          </cell>
          <cell r="AF75">
            <v>0</v>
          </cell>
        </row>
        <row r="76">
          <cell r="T76">
            <v>3403.3499999999995</v>
          </cell>
          <cell r="U76">
            <v>3141.9999999999991</v>
          </cell>
          <cell r="V76">
            <v>261.35000000000019</v>
          </cell>
          <cell r="AF76">
            <v>0</v>
          </cell>
        </row>
        <row r="77">
          <cell r="T77">
            <v>3321.7499999999995</v>
          </cell>
          <cell r="U77">
            <v>3060.3999999999992</v>
          </cell>
          <cell r="V77">
            <v>261.35000000000019</v>
          </cell>
          <cell r="AF77">
            <v>512</v>
          </cell>
        </row>
        <row r="78">
          <cell r="T78">
            <v>3827.3499999999995</v>
          </cell>
          <cell r="U78">
            <v>3565.9999999999991</v>
          </cell>
          <cell r="V78">
            <v>261.35000000000019</v>
          </cell>
          <cell r="AF78">
            <v>0</v>
          </cell>
        </row>
        <row r="79">
          <cell r="T79">
            <v>3968.9499999999994</v>
          </cell>
          <cell r="U79">
            <v>3706.7999999999993</v>
          </cell>
          <cell r="V79">
            <v>262.1500000000002</v>
          </cell>
          <cell r="AF79">
            <v>384</v>
          </cell>
        </row>
        <row r="80">
          <cell r="T80">
            <v>3924.1499999999992</v>
          </cell>
          <cell r="U80">
            <v>3661.9999999999991</v>
          </cell>
          <cell r="V80">
            <v>262.1500000000002</v>
          </cell>
          <cell r="AF80">
            <v>496</v>
          </cell>
        </row>
        <row r="81">
          <cell r="T81">
            <v>3316.1499999999992</v>
          </cell>
          <cell r="U81">
            <v>3053.9999999999991</v>
          </cell>
          <cell r="V81">
            <v>262.1500000000002</v>
          </cell>
          <cell r="AF81">
            <v>608</v>
          </cell>
        </row>
        <row r="82">
          <cell r="T82">
            <v>3396.1499999999992</v>
          </cell>
          <cell r="U82">
            <v>2925.9999999999991</v>
          </cell>
          <cell r="V82">
            <v>470.1500000000002</v>
          </cell>
          <cell r="AF82">
            <v>128</v>
          </cell>
        </row>
        <row r="83">
          <cell r="T83">
            <v>4243.1820359813082</v>
          </cell>
          <cell r="U83">
            <v>3981.0320359813077</v>
          </cell>
          <cell r="V83">
            <v>262.1500000000002</v>
          </cell>
          <cell r="AF83">
            <v>0</v>
          </cell>
        </row>
        <row r="84">
          <cell r="T84">
            <v>1670.4717556074761</v>
          </cell>
          <cell r="U84">
            <v>1408.321755607476</v>
          </cell>
          <cell r="V84">
            <v>262.1500000000002</v>
          </cell>
          <cell r="AF84">
            <v>3040</v>
          </cell>
        </row>
        <row r="85">
          <cell r="T85">
            <v>2137.7614752336444</v>
          </cell>
          <cell r="U85">
            <v>1875.6114752336443</v>
          </cell>
          <cell r="V85">
            <v>262.1500000000002</v>
          </cell>
          <cell r="AF85">
            <v>0</v>
          </cell>
        </row>
        <row r="86">
          <cell r="T86">
            <v>2605.0511948598128</v>
          </cell>
          <cell r="U86">
            <v>2342.9011948598127</v>
          </cell>
          <cell r="V86">
            <v>262.1500000000002</v>
          </cell>
          <cell r="AF86">
            <v>0</v>
          </cell>
        </row>
        <row r="87">
          <cell r="T87">
            <v>3072.3409144859811</v>
          </cell>
          <cell r="U87">
            <v>2810.190914485981</v>
          </cell>
          <cell r="V87">
            <v>262.1500000000002</v>
          </cell>
          <cell r="AF87">
            <v>0</v>
          </cell>
        </row>
        <row r="88">
          <cell r="T88">
            <v>1528.9499999999994</v>
          </cell>
          <cell r="U88">
            <v>589.99999999999909</v>
          </cell>
          <cell r="V88">
            <v>938.95000000000027</v>
          </cell>
          <cell r="AF88">
            <v>0</v>
          </cell>
        </row>
        <row r="89">
          <cell r="T89">
            <v>1528.9499999999994</v>
          </cell>
          <cell r="U89">
            <v>589.99999999999909</v>
          </cell>
          <cell r="V89">
            <v>938.95000000000027</v>
          </cell>
          <cell r="AF89">
            <v>0</v>
          </cell>
        </row>
        <row r="90">
          <cell r="T90">
            <v>1528.9499999999994</v>
          </cell>
          <cell r="U90">
            <v>589.99999999999909</v>
          </cell>
          <cell r="V90">
            <v>938.95000000000027</v>
          </cell>
          <cell r="AF90">
            <v>0</v>
          </cell>
        </row>
        <row r="91">
          <cell r="T91">
            <v>1255.2677570093451</v>
          </cell>
          <cell r="U91">
            <v>316.31775700934486</v>
          </cell>
          <cell r="V91">
            <v>938.95000000000027</v>
          </cell>
          <cell r="AF91">
            <v>512</v>
          </cell>
        </row>
        <row r="92">
          <cell r="T92">
            <v>1654.8004672897189</v>
          </cell>
          <cell r="U92">
            <v>715.85046728971861</v>
          </cell>
          <cell r="V92">
            <v>938.95000000000027</v>
          </cell>
          <cell r="AF92">
            <v>0</v>
          </cell>
        </row>
        <row r="93">
          <cell r="T93">
            <v>2083.0808411214948</v>
          </cell>
          <cell r="U93">
            <v>1144.1308411214943</v>
          </cell>
          <cell r="V93">
            <v>938.95000000000027</v>
          </cell>
          <cell r="AF93">
            <v>32</v>
          </cell>
        </row>
        <row r="94">
          <cell r="T94">
            <v>2550.3705607476627</v>
          </cell>
          <cell r="U94">
            <v>1611.4205607476624</v>
          </cell>
          <cell r="V94">
            <v>938.95000000000027</v>
          </cell>
          <cell r="AF94">
            <v>0</v>
          </cell>
        </row>
        <row r="95">
          <cell r="T95">
            <v>2809.660280373831</v>
          </cell>
          <cell r="U95">
            <v>1870.7102803738308</v>
          </cell>
          <cell r="V95">
            <v>938.95000000000027</v>
          </cell>
          <cell r="AF95">
            <v>208</v>
          </cell>
        </row>
        <row r="96">
          <cell r="T96">
            <v>2764.9499999999994</v>
          </cell>
          <cell r="U96">
            <v>1825.9999999999991</v>
          </cell>
          <cell r="V96">
            <v>938.95000000000027</v>
          </cell>
          <cell r="AF96">
            <v>512</v>
          </cell>
        </row>
        <row r="97">
          <cell r="T97">
            <v>3232.2397196261677</v>
          </cell>
          <cell r="U97">
            <v>2293.2897196261674</v>
          </cell>
          <cell r="V97">
            <v>938.95000000000027</v>
          </cell>
          <cell r="AF97">
            <v>0</v>
          </cell>
        </row>
        <row r="98">
          <cell r="T98">
            <v>3187.529439252336</v>
          </cell>
          <cell r="U98">
            <v>2248.5794392523358</v>
          </cell>
          <cell r="V98">
            <v>938.95000000000027</v>
          </cell>
          <cell r="AF98">
            <v>512</v>
          </cell>
        </row>
        <row r="99">
          <cell r="T99">
            <v>3654.8191588785044</v>
          </cell>
          <cell r="U99">
            <v>2715.8691588785041</v>
          </cell>
          <cell r="V99">
            <v>938.95000000000027</v>
          </cell>
          <cell r="AF99">
            <v>0</v>
          </cell>
        </row>
        <row r="100">
          <cell r="T100">
            <v>3618.1088785046727</v>
          </cell>
          <cell r="U100">
            <v>2679.1588785046724</v>
          </cell>
          <cell r="V100">
            <v>938.95000000000027</v>
          </cell>
          <cell r="AF100">
            <v>504</v>
          </cell>
        </row>
        <row r="101">
          <cell r="T101">
            <v>2965.398598130841</v>
          </cell>
          <cell r="U101">
            <v>2026.4485981308408</v>
          </cell>
          <cell r="V101">
            <v>938.95000000000027</v>
          </cell>
          <cell r="AF101">
            <v>1120</v>
          </cell>
        </row>
        <row r="102">
          <cell r="T102">
            <v>3325.8883177570092</v>
          </cell>
          <cell r="U102">
            <v>2535.7383177570091</v>
          </cell>
          <cell r="V102">
            <v>790.1500000000002</v>
          </cell>
          <cell r="AF102">
            <v>0</v>
          </cell>
        </row>
        <row r="103">
          <cell r="T103">
            <v>3793.1780373831775</v>
          </cell>
          <cell r="U103">
            <v>3003.0280373831774</v>
          </cell>
          <cell r="V103">
            <v>790.1500000000002</v>
          </cell>
          <cell r="AF103">
            <v>0</v>
          </cell>
        </row>
        <row r="104">
          <cell r="T104">
            <v>4260.4677570093463</v>
          </cell>
          <cell r="U104">
            <v>3470.3177570093458</v>
          </cell>
          <cell r="V104">
            <v>790.1500000000002</v>
          </cell>
          <cell r="AF104">
            <v>0</v>
          </cell>
        </row>
        <row r="105">
          <cell r="T105">
            <v>4727.7574766355146</v>
          </cell>
          <cell r="U105">
            <v>3937.6074766355141</v>
          </cell>
          <cell r="V105">
            <v>790.1500000000002</v>
          </cell>
          <cell r="AF105">
            <v>0</v>
          </cell>
        </row>
        <row r="106">
          <cell r="T106">
            <v>5035.047196261683</v>
          </cell>
          <cell r="U106">
            <v>4244.8971962616824</v>
          </cell>
          <cell r="V106">
            <v>790.1500000000002</v>
          </cell>
          <cell r="AF106">
            <v>80</v>
          </cell>
        </row>
        <row r="107">
          <cell r="T107">
            <v>5342.3369158878513</v>
          </cell>
          <cell r="U107">
            <v>4552.1869158878508</v>
          </cell>
          <cell r="V107">
            <v>790.1500000000002</v>
          </cell>
          <cell r="AF107">
            <v>80</v>
          </cell>
        </row>
        <row r="108">
          <cell r="T108">
            <v>5649.6266355140197</v>
          </cell>
          <cell r="U108">
            <v>4859.4766355140191</v>
          </cell>
          <cell r="V108">
            <v>790.1500000000002</v>
          </cell>
          <cell r="AF108">
            <v>80</v>
          </cell>
        </row>
        <row r="109">
          <cell r="T109">
            <v>5348.916355140188</v>
          </cell>
          <cell r="U109">
            <v>4558.7663551401874</v>
          </cell>
          <cell r="V109">
            <v>790.1500000000002</v>
          </cell>
          <cell r="AF109">
            <v>688</v>
          </cell>
        </row>
        <row r="110">
          <cell r="T110">
            <v>5656.2060747663563</v>
          </cell>
          <cell r="U110">
            <v>4866.0560747663558</v>
          </cell>
          <cell r="V110">
            <v>790.1500000000002</v>
          </cell>
          <cell r="AF110">
            <v>80</v>
          </cell>
        </row>
        <row r="111">
          <cell r="T111">
            <v>5423.4957943925247</v>
          </cell>
          <cell r="U111">
            <v>4633.3457943925241</v>
          </cell>
          <cell r="V111">
            <v>790.1500000000002</v>
          </cell>
          <cell r="AF111">
            <v>600</v>
          </cell>
        </row>
        <row r="112">
          <cell r="T112">
            <v>5390.785514018693</v>
          </cell>
          <cell r="U112">
            <v>4600.6355140186924</v>
          </cell>
          <cell r="V112">
            <v>790.1500000000002</v>
          </cell>
          <cell r="AF112">
            <v>500</v>
          </cell>
        </row>
        <row r="113">
          <cell r="T113">
            <v>5858.0752336448613</v>
          </cell>
          <cell r="U113">
            <v>5067.9252336448608</v>
          </cell>
          <cell r="V113">
            <v>790.1500000000002</v>
          </cell>
          <cell r="AF113">
            <v>0</v>
          </cell>
        </row>
        <row r="114">
          <cell r="T114">
            <v>6325.3649532710297</v>
          </cell>
          <cell r="U114">
            <v>5535.2149532710291</v>
          </cell>
          <cell r="V114">
            <v>790.1500000000002</v>
          </cell>
          <cell r="AF114">
            <v>0</v>
          </cell>
        </row>
        <row r="115">
          <cell r="T115">
            <v>6792.654672897198</v>
          </cell>
          <cell r="U115">
            <v>6002.5046728971975</v>
          </cell>
          <cell r="V115">
            <v>790.1500000000002</v>
          </cell>
          <cell r="AF115">
            <v>0</v>
          </cell>
        </row>
        <row r="116">
          <cell r="T116">
            <v>6379.9443925233663</v>
          </cell>
          <cell r="U116">
            <v>5589.7943925233658</v>
          </cell>
          <cell r="V116">
            <v>790.1500000000002</v>
          </cell>
          <cell r="AF116">
            <v>800</v>
          </cell>
        </row>
        <row r="117">
          <cell r="T117">
            <v>6175.2341121495347</v>
          </cell>
          <cell r="U117">
            <v>5385.0841121495341</v>
          </cell>
          <cell r="V117">
            <v>790.1500000000002</v>
          </cell>
          <cell r="AF117">
            <v>592</v>
          </cell>
        </row>
        <row r="118">
          <cell r="T118">
            <v>5982.523831775703</v>
          </cell>
          <cell r="U118">
            <v>5192.3738317757025</v>
          </cell>
          <cell r="V118">
            <v>790.1500000000002</v>
          </cell>
          <cell r="AF118">
            <v>580</v>
          </cell>
        </row>
        <row r="119">
          <cell r="T119">
            <v>4273.8135514018713</v>
          </cell>
          <cell r="U119">
            <v>3483.6635514018708</v>
          </cell>
          <cell r="V119">
            <v>790.1500000000002</v>
          </cell>
          <cell r="AF119">
            <v>2096</v>
          </cell>
        </row>
        <row r="120">
          <cell r="T120">
            <v>4581.1032710280397</v>
          </cell>
          <cell r="U120">
            <v>3790.9532710280391</v>
          </cell>
          <cell r="V120">
            <v>790.1500000000002</v>
          </cell>
          <cell r="AF120">
            <v>80</v>
          </cell>
        </row>
        <row r="121">
          <cell r="T121">
            <v>4848.392990654208</v>
          </cell>
          <cell r="U121">
            <v>4058.2429906542075</v>
          </cell>
          <cell r="V121">
            <v>790.1500000000002</v>
          </cell>
          <cell r="AF121">
            <v>100</v>
          </cell>
        </row>
        <row r="122">
          <cell r="T122">
            <v>5315.6827102803763</v>
          </cell>
          <cell r="U122">
            <v>4525.5327102803758</v>
          </cell>
          <cell r="V122">
            <v>790.1500000000002</v>
          </cell>
          <cell r="AF122">
            <v>0</v>
          </cell>
        </row>
        <row r="123">
          <cell r="T123">
            <v>5782.9724299065447</v>
          </cell>
          <cell r="U123">
            <v>4992.8224299065441</v>
          </cell>
          <cell r="V123">
            <v>790.1500000000002</v>
          </cell>
          <cell r="AF123">
            <v>0</v>
          </cell>
        </row>
        <row r="124">
          <cell r="T124">
            <v>4726.262149532713</v>
          </cell>
          <cell r="U124">
            <v>3936.1121495327125</v>
          </cell>
          <cell r="V124">
            <v>790.1500000000002</v>
          </cell>
          <cell r="AF124">
            <v>1524</v>
          </cell>
        </row>
        <row r="125">
          <cell r="T125">
            <v>5193.5518691588813</v>
          </cell>
          <cell r="U125">
            <v>4403.4018691588808</v>
          </cell>
          <cell r="V125">
            <v>790.1500000000002</v>
          </cell>
          <cell r="AF125">
            <v>0</v>
          </cell>
        </row>
        <row r="126">
          <cell r="T126">
            <v>3260.8415887850492</v>
          </cell>
          <cell r="U126">
            <v>2470.6915887850491</v>
          </cell>
          <cell r="V126">
            <v>790.1500000000002</v>
          </cell>
          <cell r="AF126">
            <v>2320</v>
          </cell>
        </row>
        <row r="127">
          <cell r="T127">
            <v>2556.1313084112176</v>
          </cell>
          <cell r="U127">
            <v>1765.9813084112175</v>
          </cell>
          <cell r="V127">
            <v>790.1500000000002</v>
          </cell>
          <cell r="AF127">
            <v>1092</v>
          </cell>
        </row>
        <row r="128">
          <cell r="T128">
            <v>2863.4210280373859</v>
          </cell>
          <cell r="U128">
            <v>2073.2710280373858</v>
          </cell>
          <cell r="V128">
            <v>790.1500000000002</v>
          </cell>
          <cell r="AF128">
            <v>80</v>
          </cell>
        </row>
        <row r="129">
          <cell r="T129">
            <v>2158.7107476635542</v>
          </cell>
          <cell r="U129">
            <v>1368.5607476635541</v>
          </cell>
          <cell r="V129">
            <v>790.1500000000002</v>
          </cell>
          <cell r="AF129">
            <v>1092</v>
          </cell>
        </row>
        <row r="130">
          <cell r="T130">
            <v>2466.0004672897226</v>
          </cell>
          <cell r="U130">
            <v>1675.8504672897225</v>
          </cell>
          <cell r="V130">
            <v>790.1500000000002</v>
          </cell>
          <cell r="AF130">
            <v>80</v>
          </cell>
        </row>
        <row r="131">
          <cell r="T131">
            <v>2733.2901869158909</v>
          </cell>
          <cell r="U131">
            <v>1943.1401869158908</v>
          </cell>
          <cell r="V131">
            <v>790.1500000000002</v>
          </cell>
          <cell r="AF131">
            <v>100</v>
          </cell>
        </row>
        <row r="132">
          <cell r="T132">
            <v>3201.5799065420592</v>
          </cell>
          <cell r="U132">
            <v>2411.4299065420591</v>
          </cell>
          <cell r="V132">
            <v>790.1500000000002</v>
          </cell>
          <cell r="AF132">
            <v>0</v>
          </cell>
        </row>
        <row r="133">
          <cell r="T133">
            <v>3670.8696261682276</v>
          </cell>
          <cell r="U133">
            <v>2880.7196261682275</v>
          </cell>
          <cell r="V133">
            <v>790.1500000000002</v>
          </cell>
          <cell r="AF133">
            <v>0</v>
          </cell>
        </row>
        <row r="134">
          <cell r="T134">
            <v>4141.1593457943964</v>
          </cell>
          <cell r="U134">
            <v>3351.0093457943958</v>
          </cell>
          <cell r="V134">
            <v>790.1500000000002</v>
          </cell>
          <cell r="AF134">
            <v>0</v>
          </cell>
        </row>
        <row r="135">
          <cell r="T135">
            <v>4612.4490654205647</v>
          </cell>
          <cell r="U135">
            <v>3822.2990654205641</v>
          </cell>
          <cell r="V135">
            <v>790.1500000000002</v>
          </cell>
          <cell r="AF135">
            <v>0</v>
          </cell>
        </row>
        <row r="136">
          <cell r="T136">
            <v>4924.738785046733</v>
          </cell>
          <cell r="U136">
            <v>4134.5887850467325</v>
          </cell>
          <cell r="V136">
            <v>790.1500000000002</v>
          </cell>
          <cell r="AF136">
            <v>80</v>
          </cell>
        </row>
        <row r="137">
          <cell r="T137">
            <v>5238.0285046729014</v>
          </cell>
          <cell r="U137">
            <v>4447.8785046729008</v>
          </cell>
          <cell r="V137">
            <v>790.1500000000002</v>
          </cell>
          <cell r="AF137">
            <v>80</v>
          </cell>
        </row>
        <row r="138">
          <cell r="T138">
            <v>5552.3182242990697</v>
          </cell>
          <cell r="U138">
            <v>4762.1682242990692</v>
          </cell>
          <cell r="V138">
            <v>790.1500000000002</v>
          </cell>
          <cell r="AF138">
            <v>80</v>
          </cell>
        </row>
        <row r="139">
          <cell r="T139">
            <v>4259.607943925238</v>
          </cell>
          <cell r="U139">
            <v>3469.4579439252375</v>
          </cell>
          <cell r="V139">
            <v>790.1500000000002</v>
          </cell>
          <cell r="AF139">
            <v>1688</v>
          </cell>
        </row>
        <row r="140">
          <cell r="T140">
            <v>4575.8976635514064</v>
          </cell>
          <cell r="U140">
            <v>3785.7476635514058</v>
          </cell>
          <cell r="V140">
            <v>790.1500000000002</v>
          </cell>
          <cell r="AF140">
            <v>80</v>
          </cell>
        </row>
        <row r="141">
          <cell r="T141">
            <v>4353.1873831775747</v>
          </cell>
          <cell r="U141">
            <v>3563.0373831775742</v>
          </cell>
          <cell r="V141">
            <v>790.1500000000002</v>
          </cell>
          <cell r="AF141">
            <v>600</v>
          </cell>
        </row>
        <row r="142">
          <cell r="T142">
            <v>4331.477102803743</v>
          </cell>
          <cell r="U142">
            <v>3541.3271028037425</v>
          </cell>
          <cell r="V142">
            <v>790.1500000000002</v>
          </cell>
          <cell r="AF142">
            <v>500</v>
          </cell>
        </row>
        <row r="143">
          <cell r="T143">
            <v>4810.7668224299114</v>
          </cell>
          <cell r="U143">
            <v>4020.6168224299108</v>
          </cell>
          <cell r="V143">
            <v>790.1500000000002</v>
          </cell>
          <cell r="AF143">
            <v>0</v>
          </cell>
        </row>
        <row r="144">
          <cell r="T144">
            <v>5291.0565420560797</v>
          </cell>
          <cell r="U144">
            <v>4500.9065420560792</v>
          </cell>
          <cell r="V144">
            <v>790.1500000000002</v>
          </cell>
          <cell r="AF144">
            <v>0</v>
          </cell>
        </row>
        <row r="145">
          <cell r="T145">
            <v>5772.346261682248</v>
          </cell>
          <cell r="U145">
            <v>4982.1962616822475</v>
          </cell>
          <cell r="V145">
            <v>790.1500000000002</v>
          </cell>
          <cell r="AF145">
            <v>0</v>
          </cell>
        </row>
        <row r="146">
          <cell r="T146">
            <v>5374.6359813084164</v>
          </cell>
          <cell r="U146">
            <v>4584.4859813084158</v>
          </cell>
          <cell r="V146">
            <v>790.1500000000002</v>
          </cell>
          <cell r="AF146">
            <v>800</v>
          </cell>
        </row>
        <row r="147">
          <cell r="T147">
            <v>5185.9257009345847</v>
          </cell>
          <cell r="U147">
            <v>4395.7757009345842</v>
          </cell>
          <cell r="V147">
            <v>790.1500000000002</v>
          </cell>
          <cell r="AF147">
            <v>592</v>
          </cell>
        </row>
        <row r="148">
          <cell r="T148">
            <v>5010.215420560753</v>
          </cell>
          <cell r="U148">
            <v>4220.0654205607525</v>
          </cell>
          <cell r="V148">
            <v>790.1500000000002</v>
          </cell>
          <cell r="AF148">
            <v>580</v>
          </cell>
        </row>
        <row r="149">
          <cell r="T149">
            <v>3319.5051401869209</v>
          </cell>
          <cell r="U149">
            <v>2529.3551401869208</v>
          </cell>
          <cell r="V149">
            <v>790.1500000000002</v>
          </cell>
          <cell r="AF149">
            <v>2096</v>
          </cell>
        </row>
        <row r="150">
          <cell r="T150">
            <v>3645.7948598130893</v>
          </cell>
          <cell r="U150">
            <v>2855.6448598130892</v>
          </cell>
          <cell r="V150">
            <v>790.1500000000002</v>
          </cell>
          <cell r="AF150">
            <v>80</v>
          </cell>
        </row>
        <row r="151">
          <cell r="T151">
            <v>3933.0845794392576</v>
          </cell>
          <cell r="U151">
            <v>3142.9345794392575</v>
          </cell>
          <cell r="V151">
            <v>790.1500000000002</v>
          </cell>
          <cell r="AF151">
            <v>100</v>
          </cell>
        </row>
        <row r="152">
          <cell r="T152">
            <v>4421.3742990654264</v>
          </cell>
          <cell r="U152">
            <v>3631.2242990654258</v>
          </cell>
          <cell r="V152">
            <v>790.1500000000002</v>
          </cell>
          <cell r="AF152">
            <v>0</v>
          </cell>
        </row>
        <row r="153">
          <cell r="T153">
            <v>4910.6640186915947</v>
          </cell>
          <cell r="U153">
            <v>4120.5140186915942</v>
          </cell>
          <cell r="V153">
            <v>790.1500000000002</v>
          </cell>
          <cell r="AF153">
            <v>0</v>
          </cell>
        </row>
        <row r="154">
          <cell r="T154">
            <v>3876.9537383177626</v>
          </cell>
          <cell r="U154">
            <v>3086.8037383177625</v>
          </cell>
          <cell r="V154">
            <v>790.1500000000002</v>
          </cell>
          <cell r="AF154">
            <v>1524</v>
          </cell>
        </row>
        <row r="155">
          <cell r="T155">
            <v>4368.2434579439314</v>
          </cell>
          <cell r="U155">
            <v>3578.0934579439308</v>
          </cell>
          <cell r="V155">
            <v>790.1500000000002</v>
          </cell>
          <cell r="AF155">
            <v>0</v>
          </cell>
        </row>
        <row r="156">
          <cell r="T156">
            <v>2460.5331775700993</v>
          </cell>
          <cell r="U156">
            <v>1670.3831775700992</v>
          </cell>
          <cell r="V156">
            <v>790.1500000000002</v>
          </cell>
          <cell r="AF156">
            <v>2320</v>
          </cell>
        </row>
        <row r="157">
          <cell r="T157">
            <v>1781.8228971962676</v>
          </cell>
          <cell r="U157">
            <v>991.67289719626751</v>
          </cell>
          <cell r="V157">
            <v>790.1500000000002</v>
          </cell>
          <cell r="AF157">
            <v>1092</v>
          </cell>
        </row>
        <row r="158">
          <cell r="T158">
            <v>2116.1126168224359</v>
          </cell>
          <cell r="U158">
            <v>1325.9626168224358</v>
          </cell>
          <cell r="V158">
            <v>790.1500000000002</v>
          </cell>
          <cell r="AF158">
            <v>80</v>
          </cell>
        </row>
        <row r="159">
          <cell r="T159">
            <v>1939.4023364486043</v>
          </cell>
          <cell r="U159">
            <v>1149.2523364486042</v>
          </cell>
          <cell r="V159">
            <v>790.1500000000002</v>
          </cell>
          <cell r="AF159">
            <v>592</v>
          </cell>
        </row>
        <row r="160">
          <cell r="T160">
            <v>2275.6920560747726</v>
          </cell>
          <cell r="U160">
            <v>1485.5420560747725</v>
          </cell>
          <cell r="V160">
            <v>790.1500000000002</v>
          </cell>
          <cell r="AF160">
            <v>80</v>
          </cell>
        </row>
        <row r="161">
          <cell r="T161">
            <v>2572.9817757009409</v>
          </cell>
          <cell r="U161">
            <v>1782.8317757009409</v>
          </cell>
          <cell r="V161">
            <v>790.1500000000002</v>
          </cell>
          <cell r="AF161">
            <v>100</v>
          </cell>
        </row>
        <row r="162">
          <cell r="T162">
            <v>3071.2714953271093</v>
          </cell>
          <cell r="U162">
            <v>2281.1214953271092</v>
          </cell>
          <cell r="V162">
            <v>790.1500000000002</v>
          </cell>
          <cell r="AF162">
            <v>0</v>
          </cell>
        </row>
      </sheetData>
      <sheetData sheetId="1"/>
      <sheetData sheetId="2"/>
      <sheetData sheetId="3"/>
      <sheetData sheetId="4"/>
      <sheetData sheetId="5"/>
      <sheetData sheetId="6">
        <row r="42">
          <cell r="B42">
            <v>1168.5815236996723</v>
          </cell>
        </row>
      </sheetData>
      <sheetData sheetId="7"/>
      <sheetData sheetId="8">
        <row r="11">
          <cell r="A11">
            <v>40908</v>
          </cell>
        </row>
      </sheetData>
      <sheetData sheetId="9">
        <row r="11">
          <cell r="A11">
            <v>40908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1">
          <cell r="AF1" t="str">
            <v>Month</v>
          </cell>
        </row>
      </sheetData>
      <sheetData sheetId="17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LY REPORT (P.1)"/>
      <sheetName val=" Table summary (P.2)"/>
      <sheetName val="Chart"/>
      <sheetName val="% Load daily"/>
      <sheetName val="Raw Material"/>
      <sheetName val="Cumene (For PE only)"/>
      <sheetName val="Cumene_PP02"/>
      <sheetName val="Cumene_PP90"/>
      <sheetName val="WIP"/>
      <sheetName val="PPCL Product "/>
      <sheetName val="TTT Product"/>
      <sheetName val="PPCL By Product"/>
      <sheetName val="Charcoal consumption WWT"/>
      <sheetName val="Chem"/>
    </sheetNames>
    <sheetDataSet>
      <sheetData sheetId="0">
        <row r="10">
          <cell r="AA10">
            <v>41275</v>
          </cell>
          <cell r="AB10">
            <v>21450.719999999998</v>
          </cell>
          <cell r="AC10">
            <v>13428.150719999998</v>
          </cell>
          <cell r="AD10">
            <v>922.38095999999985</v>
          </cell>
          <cell r="AE10">
            <v>85.802879999999988</v>
          </cell>
          <cell r="AF10">
            <v>32.176079999999999</v>
          </cell>
        </row>
        <row r="11">
          <cell r="AA11">
            <v>41306</v>
          </cell>
          <cell r="AB11">
            <v>19362.719999999998</v>
          </cell>
          <cell r="AC11">
            <v>12121.062719999998</v>
          </cell>
          <cell r="AD11">
            <v>832.59695999999985</v>
          </cell>
          <cell r="AE11">
            <v>77.450879999999998</v>
          </cell>
          <cell r="AF11">
            <v>29.044079999999997</v>
          </cell>
        </row>
        <row r="12">
          <cell r="AA12">
            <v>41334</v>
          </cell>
          <cell r="AB12">
            <v>21450.719999999998</v>
          </cell>
          <cell r="AC12">
            <v>13428.150719999998</v>
          </cell>
          <cell r="AD12">
            <v>922.38095999999985</v>
          </cell>
          <cell r="AE12">
            <v>85.802879999999988</v>
          </cell>
          <cell r="AF12">
            <v>32.176079999999999</v>
          </cell>
        </row>
        <row r="13">
          <cell r="AA13">
            <v>41365</v>
          </cell>
          <cell r="AB13">
            <v>20754.719999999998</v>
          </cell>
          <cell r="AC13">
            <v>12992.454719999998</v>
          </cell>
          <cell r="AD13">
            <v>892.45295999999985</v>
          </cell>
          <cell r="AE13">
            <v>83.018879999999996</v>
          </cell>
          <cell r="AF13">
            <v>31.132079999999998</v>
          </cell>
        </row>
        <row r="14">
          <cell r="AA14">
            <v>41395</v>
          </cell>
          <cell r="AB14">
            <v>21450.719999999998</v>
          </cell>
          <cell r="AC14">
            <v>13428.150719999998</v>
          </cell>
          <cell r="AD14">
            <v>922.38095999999985</v>
          </cell>
          <cell r="AE14">
            <v>85.802879999999988</v>
          </cell>
          <cell r="AF14">
            <v>32.176079999999999</v>
          </cell>
        </row>
        <row r="15">
          <cell r="AA15">
            <v>41426</v>
          </cell>
          <cell r="AB15">
            <v>20754.719999999998</v>
          </cell>
          <cell r="AC15">
            <v>12992.454719999998</v>
          </cell>
          <cell r="AD15">
            <v>892.45295999999985</v>
          </cell>
          <cell r="AE15">
            <v>83.018879999999996</v>
          </cell>
          <cell r="AF15">
            <v>31.132079999999998</v>
          </cell>
        </row>
        <row r="16">
          <cell r="AA16">
            <v>41456</v>
          </cell>
          <cell r="AB16">
            <v>21450.719999999998</v>
          </cell>
          <cell r="AC16">
            <v>13428.150719999998</v>
          </cell>
          <cell r="AD16">
            <v>922.38095999999985</v>
          </cell>
          <cell r="AE16">
            <v>85.802879999999988</v>
          </cell>
          <cell r="AF16">
            <v>32.176079999999999</v>
          </cell>
        </row>
        <row r="17">
          <cell r="AA17">
            <v>41487</v>
          </cell>
          <cell r="AB17">
            <v>21450.719999999998</v>
          </cell>
          <cell r="AC17">
            <v>13428.150719999998</v>
          </cell>
          <cell r="AD17">
            <v>922.38095999999985</v>
          </cell>
          <cell r="AE17">
            <v>85.802879999999988</v>
          </cell>
          <cell r="AF17">
            <v>32.176079999999999</v>
          </cell>
        </row>
        <row r="18">
          <cell r="AA18">
            <v>41518</v>
          </cell>
          <cell r="AB18">
            <v>20754.719999999998</v>
          </cell>
          <cell r="AC18">
            <v>12992.454719999998</v>
          </cell>
          <cell r="AD18">
            <v>892.45295999999985</v>
          </cell>
          <cell r="AE18">
            <v>83.018879999999996</v>
          </cell>
          <cell r="AF18">
            <v>31.132079999999998</v>
          </cell>
        </row>
        <row r="19">
          <cell r="AA19">
            <v>41548</v>
          </cell>
          <cell r="AB19">
            <v>18096</v>
          </cell>
          <cell r="AC19">
            <v>11328.096</v>
          </cell>
          <cell r="AD19">
            <v>778.12799999999993</v>
          </cell>
          <cell r="AE19">
            <v>72.384</v>
          </cell>
          <cell r="AF19">
            <v>27.144000000000002</v>
          </cell>
        </row>
        <row r="20">
          <cell r="AA20">
            <v>41579</v>
          </cell>
          <cell r="AB20">
            <v>20880</v>
          </cell>
          <cell r="AC20">
            <v>13070.88</v>
          </cell>
          <cell r="AD20">
            <v>897.83999999999992</v>
          </cell>
          <cell r="AE20">
            <v>83.52</v>
          </cell>
          <cell r="AF20">
            <v>31.32</v>
          </cell>
        </row>
        <row r="21">
          <cell r="AA21">
            <v>41609</v>
          </cell>
          <cell r="AB21">
            <v>21450.719999999998</v>
          </cell>
          <cell r="AC21">
            <v>13428.150719999998</v>
          </cell>
          <cell r="AD21">
            <v>922.38095999999985</v>
          </cell>
          <cell r="AE21">
            <v>85.802879999999988</v>
          </cell>
          <cell r="AF21">
            <v>32.176079999999999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A5">
            <v>41548</v>
          </cell>
        </row>
      </sheetData>
      <sheetData sheetId="12"/>
      <sheetData sheetId="1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LY REPORT (PH1)_P'Note"/>
      <sheetName val="MONTLY REPORT (PH2)_Note"/>
      <sheetName val="MONTHLY REPORT (PH1)"/>
      <sheetName val=" Table summary (PH1)"/>
      <sheetName val="MONTHLY REPORT (PH2)"/>
      <sheetName val=" Table summary (PH2)"/>
      <sheetName val="For Accounting"/>
      <sheetName val="% Load daily"/>
      <sheetName val="Cumene (For PE only)"/>
      <sheetName val="Raw Material"/>
      <sheetName val="Cumene_PP90"/>
      <sheetName val="Cumene_PP02"/>
      <sheetName val="WIP"/>
      <sheetName val="Phenol_Phenol Plant"/>
      <sheetName val="Phenol_TTT"/>
      <sheetName val="Acetone_Phenol Plant"/>
      <sheetName val="Acetone_TTT"/>
      <sheetName val="Acetone_(All)"/>
      <sheetName val="PPCL By Product"/>
      <sheetName val="Chem"/>
      <sheetName val="Yield (Kae)"/>
      <sheetName val="Sheet1"/>
    </sheetNames>
    <sheetDataSet>
      <sheetData sheetId="0" refreshError="1"/>
      <sheetData sheetId="1" refreshError="1"/>
      <sheetData sheetId="2">
        <row r="3">
          <cell r="I3">
            <v>42917</v>
          </cell>
        </row>
        <row r="7">
          <cell r="AF7">
            <v>18327.600000000002</v>
          </cell>
          <cell r="AG7">
            <v>11436.422400000001</v>
          </cell>
          <cell r="AH7">
            <v>808.24716000000012</v>
          </cell>
          <cell r="AI7">
            <v>67.812120000000007</v>
          </cell>
        </row>
        <row r="8">
          <cell r="AF8">
            <v>16545.600000000002</v>
          </cell>
          <cell r="AG8">
            <v>10324.454400000001</v>
          </cell>
          <cell r="AH8">
            <v>729.66096000000005</v>
          </cell>
          <cell r="AI8">
            <v>61.218720000000012</v>
          </cell>
        </row>
        <row r="9">
          <cell r="AF9">
            <v>0</v>
          </cell>
          <cell r="AG9">
            <v>0</v>
          </cell>
          <cell r="AH9">
            <v>0</v>
          </cell>
          <cell r="AI9">
            <v>0</v>
          </cell>
        </row>
        <row r="10">
          <cell r="AF10">
            <v>10359.36</v>
          </cell>
          <cell r="AG10">
            <v>6464.24064</v>
          </cell>
          <cell r="AH10">
            <v>456.84777600000001</v>
          </cell>
          <cell r="AI10">
            <v>38.329632000000004</v>
          </cell>
        </row>
        <row r="11">
          <cell r="AF11">
            <v>22400.400000000001</v>
          </cell>
          <cell r="AG11">
            <v>13977.849600000001</v>
          </cell>
          <cell r="AH11">
            <v>987.85764000000006</v>
          </cell>
          <cell r="AI11">
            <v>82.88148000000001</v>
          </cell>
        </row>
        <row r="12">
          <cell r="AF12">
            <v>21674.400000000001</v>
          </cell>
          <cell r="AG12">
            <v>13524.8256</v>
          </cell>
          <cell r="AH12">
            <v>955.84104000000002</v>
          </cell>
          <cell r="AI12">
            <v>80.195280000000011</v>
          </cell>
        </row>
        <row r="13">
          <cell r="AF13">
            <v>22400.400000000001</v>
          </cell>
          <cell r="AG13">
            <v>13977.849600000001</v>
          </cell>
          <cell r="AH13">
            <v>987.85764000000006</v>
          </cell>
          <cell r="AI13">
            <v>82.88148000000001</v>
          </cell>
        </row>
        <row r="14">
          <cell r="AF14">
            <v>22400.400000000001</v>
          </cell>
          <cell r="AG14">
            <v>13977.849600000001</v>
          </cell>
          <cell r="AH14">
            <v>987.85764000000006</v>
          </cell>
          <cell r="AI14">
            <v>82.88148000000001</v>
          </cell>
        </row>
        <row r="15">
          <cell r="AF15">
            <v>21674.400000000001</v>
          </cell>
          <cell r="AG15">
            <v>13524.8256</v>
          </cell>
          <cell r="AH15">
            <v>955.84104000000002</v>
          </cell>
          <cell r="AI15">
            <v>80.195280000000011</v>
          </cell>
        </row>
        <row r="16">
          <cell r="AF16">
            <v>22400.400000000001</v>
          </cell>
          <cell r="AG16">
            <v>13977.849600000001</v>
          </cell>
          <cell r="AH16">
            <v>987.85764000000006</v>
          </cell>
          <cell r="AI16">
            <v>82.88148000000001</v>
          </cell>
        </row>
        <row r="17">
          <cell r="AF17">
            <v>21674.400000000001</v>
          </cell>
          <cell r="AG17">
            <v>13524.8256</v>
          </cell>
          <cell r="AH17">
            <v>955.84104000000002</v>
          </cell>
          <cell r="AI17">
            <v>80.195280000000011</v>
          </cell>
        </row>
        <row r="18">
          <cell r="AF18">
            <v>22400.400000000001</v>
          </cell>
          <cell r="AG18">
            <v>13977.849600000001</v>
          </cell>
          <cell r="AH18">
            <v>987.85764000000006</v>
          </cell>
          <cell r="AI18">
            <v>82.88148000000001</v>
          </cell>
        </row>
      </sheetData>
      <sheetData sheetId="3">
        <row r="36">
          <cell r="H36">
            <v>42736</v>
          </cell>
          <cell r="I36">
            <v>42767</v>
          </cell>
          <cell r="J36">
            <v>42795</v>
          </cell>
          <cell r="K36">
            <v>42826</v>
          </cell>
          <cell r="L36">
            <v>42856</v>
          </cell>
          <cell r="M36">
            <v>42887</v>
          </cell>
          <cell r="N36">
            <v>42917</v>
          </cell>
          <cell r="O36">
            <v>42948</v>
          </cell>
          <cell r="P36">
            <v>42979</v>
          </cell>
          <cell r="Q36">
            <v>43009</v>
          </cell>
          <cell r="R36">
            <v>43040</v>
          </cell>
          <cell r="S36">
            <v>43070</v>
          </cell>
        </row>
        <row r="37">
          <cell r="H37">
            <v>27758.37</v>
          </cell>
          <cell r="I37">
            <v>24816.2</v>
          </cell>
          <cell r="J37">
            <v>2491.0700000000002</v>
          </cell>
          <cell r="K37">
            <v>25402.73</v>
          </cell>
          <cell r="L37">
            <v>27899.21</v>
          </cell>
          <cell r="M37">
            <v>22880.09</v>
          </cell>
          <cell r="N37">
            <v>25211.09</v>
          </cell>
        </row>
        <row r="39">
          <cell r="J39">
            <v>2491.0700000000002</v>
          </cell>
          <cell r="K39">
            <v>4521</v>
          </cell>
        </row>
        <row r="40">
          <cell r="H40">
            <v>48652.87</v>
          </cell>
          <cell r="I40">
            <v>43700.73</v>
          </cell>
          <cell r="J40">
            <v>4707.8900000000003</v>
          </cell>
          <cell r="K40">
            <v>39284.65</v>
          </cell>
          <cell r="L40">
            <v>48620.82</v>
          </cell>
          <cell r="M40">
            <v>48984.36</v>
          </cell>
          <cell r="N40">
            <v>50910.64</v>
          </cell>
        </row>
        <row r="42">
          <cell r="J42">
            <v>4707.8900000000003</v>
          </cell>
          <cell r="K42">
            <v>4035</v>
          </cell>
          <cell r="O42">
            <v>0</v>
          </cell>
        </row>
        <row r="45">
          <cell r="H45">
            <v>0</v>
          </cell>
          <cell r="I45">
            <v>0</v>
          </cell>
          <cell r="J45">
            <v>52.91</v>
          </cell>
          <cell r="K45">
            <v>878.16</v>
          </cell>
          <cell r="L45">
            <v>0</v>
          </cell>
          <cell r="M45">
            <v>0</v>
          </cell>
          <cell r="N45">
            <v>6.81</v>
          </cell>
        </row>
        <row r="48">
          <cell r="J48">
            <v>25.44971</v>
          </cell>
          <cell r="K48">
            <v>422.39496000000003</v>
          </cell>
        </row>
        <row r="51">
          <cell r="J51">
            <v>27.460289999999997</v>
          </cell>
          <cell r="K51">
            <v>455.76503999999994</v>
          </cell>
        </row>
        <row r="57">
          <cell r="J57">
            <v>10476.340000000004</v>
          </cell>
          <cell r="K57">
            <v>3812.4800000000005</v>
          </cell>
        </row>
        <row r="60">
          <cell r="J60">
            <v>64354.659999999996</v>
          </cell>
          <cell r="K60">
            <v>23419.52</v>
          </cell>
        </row>
        <row r="68">
          <cell r="J68">
            <v>20072.189999999999</v>
          </cell>
          <cell r="K68">
            <v>14368.871999999999</v>
          </cell>
        </row>
        <row r="71">
          <cell r="J71">
            <v>303672.81</v>
          </cell>
          <cell r="K71">
            <v>217387.128</v>
          </cell>
        </row>
        <row r="75">
          <cell r="H75">
            <v>373219</v>
          </cell>
          <cell r="I75">
            <v>318464</v>
          </cell>
          <cell r="J75">
            <v>143201</v>
          </cell>
          <cell r="K75">
            <v>292568</v>
          </cell>
          <cell r="L75">
            <v>368406</v>
          </cell>
          <cell r="M75">
            <v>353611</v>
          </cell>
          <cell r="N75">
            <v>404345</v>
          </cell>
        </row>
        <row r="78">
          <cell r="H78">
            <v>7449</v>
          </cell>
          <cell r="I78">
            <v>6813</v>
          </cell>
          <cell r="J78">
            <v>9201</v>
          </cell>
          <cell r="K78">
            <v>9557</v>
          </cell>
          <cell r="L78">
            <v>7748</v>
          </cell>
          <cell r="M78">
            <v>10826</v>
          </cell>
          <cell r="N78">
            <v>9767</v>
          </cell>
        </row>
        <row r="81">
          <cell r="J81">
            <v>904.16666666666674</v>
          </cell>
          <cell r="K81">
            <v>653.5</v>
          </cell>
        </row>
        <row r="84">
          <cell r="J84">
            <v>904.16666666666674</v>
          </cell>
          <cell r="K84">
            <v>653.5</v>
          </cell>
        </row>
        <row r="89">
          <cell r="J89">
            <v>400029</v>
          </cell>
          <cell r="K89">
            <v>307474.44</v>
          </cell>
        </row>
        <row r="92">
          <cell r="J92">
            <v>1504871</v>
          </cell>
          <cell r="K92">
            <v>1156689.56</v>
          </cell>
        </row>
      </sheetData>
      <sheetData sheetId="4">
        <row r="9">
          <cell r="P9">
            <v>23360.907426748094</v>
          </cell>
        </row>
      </sheetData>
      <sheetData sheetId="5">
        <row r="36">
          <cell r="C36">
            <v>42736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3">
          <cell r="E3">
            <v>326.779</v>
          </cell>
        </row>
        <row r="4">
          <cell r="E4">
            <v>339.40800000000002</v>
          </cell>
        </row>
        <row r="5">
          <cell r="E5">
            <v>314.80500000000001</v>
          </cell>
        </row>
        <row r="6">
          <cell r="D6">
            <v>19110</v>
          </cell>
          <cell r="E6">
            <v>309.52499999999998</v>
          </cell>
        </row>
        <row r="7">
          <cell r="E7">
            <v>309.80200000000002</v>
          </cell>
        </row>
        <row r="8">
          <cell r="E8">
            <v>301.07600000000002</v>
          </cell>
        </row>
        <row r="9">
          <cell r="E9">
            <v>301.39499999999998</v>
          </cell>
        </row>
        <row r="10">
          <cell r="E10">
            <v>302.60199999999998</v>
          </cell>
        </row>
        <row r="11">
          <cell r="E11">
            <v>302.89299999999997</v>
          </cell>
        </row>
        <row r="12">
          <cell r="E12">
            <v>298.88799999999998</v>
          </cell>
        </row>
        <row r="13">
          <cell r="E13">
            <v>294.19</v>
          </cell>
        </row>
        <row r="14">
          <cell r="E14">
            <v>295.97000000000003</v>
          </cell>
        </row>
        <row r="15">
          <cell r="E15">
            <v>295.46300000000002</v>
          </cell>
        </row>
        <row r="16">
          <cell r="E16">
            <v>297.32600000000002</v>
          </cell>
        </row>
        <row r="17">
          <cell r="E17">
            <v>294.14299999999997</v>
          </cell>
        </row>
        <row r="18">
          <cell r="E18">
            <v>292.90199999999999</v>
          </cell>
        </row>
        <row r="19">
          <cell r="E19">
            <v>293.108</v>
          </cell>
        </row>
        <row r="20">
          <cell r="E20">
            <v>295.16500000000002</v>
          </cell>
        </row>
        <row r="21">
          <cell r="E21">
            <v>291.93400000000003</v>
          </cell>
        </row>
        <row r="22">
          <cell r="E22">
            <v>285.505</v>
          </cell>
        </row>
        <row r="23">
          <cell r="E23">
            <v>283.947</v>
          </cell>
        </row>
        <row r="24">
          <cell r="E24">
            <v>284.65300000000002</v>
          </cell>
        </row>
        <row r="25">
          <cell r="E25">
            <v>284.28899999999999</v>
          </cell>
        </row>
        <row r="26">
          <cell r="E26">
            <v>290.60199999999998</v>
          </cell>
        </row>
        <row r="27">
          <cell r="E27">
            <v>348.79700000000003</v>
          </cell>
        </row>
        <row r="28">
          <cell r="E28">
            <v>374.14800000000002</v>
          </cell>
        </row>
        <row r="29">
          <cell r="E29">
            <v>375.464</v>
          </cell>
        </row>
        <row r="30">
          <cell r="E30">
            <v>375.26400000000001</v>
          </cell>
        </row>
      </sheetData>
      <sheetData sheetId="20" refreshError="1"/>
      <sheetData sheetId="2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Report "/>
      <sheetName val="Yield (Kae)"/>
      <sheetName val="Year 2019 Summary "/>
      <sheetName val="%Load daily"/>
      <sheetName val="Raw Material"/>
      <sheetName val="31 Dec 19 Holdup"/>
      <sheetName val="BPA Product "/>
      <sheetName val="Downtime"/>
      <sheetName val="BPA WH&lt;1&gt;"/>
      <sheetName val="PPCL By Product"/>
      <sheetName val="Chem"/>
      <sheetName val="Utility (meter)"/>
      <sheetName val="for ACCT AP"/>
      <sheetName val="For Accounting"/>
      <sheetName val="Back up"/>
    </sheetNames>
    <sheetDataSet>
      <sheetData sheetId="0" refreshError="1"/>
      <sheetData sheetId="1" refreshError="1"/>
      <sheetData sheetId="2">
        <row r="23">
          <cell r="C23">
            <v>31</v>
          </cell>
          <cell r="D23">
            <v>59</v>
          </cell>
          <cell r="E23">
            <v>90</v>
          </cell>
          <cell r="F23">
            <v>120</v>
          </cell>
          <cell r="G23">
            <v>151</v>
          </cell>
          <cell r="H23">
            <v>181</v>
          </cell>
          <cell r="I23">
            <v>212</v>
          </cell>
          <cell r="J23">
            <v>243</v>
          </cell>
          <cell r="K23">
            <v>273</v>
          </cell>
          <cell r="L23">
            <v>304</v>
          </cell>
          <cell r="M23">
            <v>334</v>
          </cell>
          <cell r="N23">
            <v>365</v>
          </cell>
        </row>
        <row r="26">
          <cell r="C26">
            <v>31</v>
          </cell>
          <cell r="D26">
            <v>59</v>
          </cell>
          <cell r="E26">
            <v>90</v>
          </cell>
          <cell r="F26">
            <v>114.35</v>
          </cell>
          <cell r="G26">
            <v>145.35</v>
          </cell>
          <cell r="H26">
            <v>175.35</v>
          </cell>
          <cell r="I26">
            <v>206.35</v>
          </cell>
          <cell r="J26">
            <v>237.35</v>
          </cell>
          <cell r="K26">
            <v>264.35000000000002</v>
          </cell>
          <cell r="L26">
            <v>294.49930555555477</v>
          </cell>
          <cell r="M26">
            <v>324.49930555555477</v>
          </cell>
          <cell r="N26">
            <v>352.16930555555479</v>
          </cell>
        </row>
        <row r="42">
          <cell r="K42">
            <v>1893.365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K48">
            <v>0.23200000000000001</v>
          </cell>
        </row>
        <row r="53">
          <cell r="K53">
            <v>602.18799999999999</v>
          </cell>
        </row>
        <row r="62">
          <cell r="K62">
            <v>6172.2929999999997</v>
          </cell>
        </row>
        <row r="64">
          <cell r="I64">
            <v>9042.91</v>
          </cell>
          <cell r="J64">
            <v>47623</v>
          </cell>
          <cell r="K64">
            <v>48072</v>
          </cell>
          <cell r="L64">
            <v>44054</v>
          </cell>
          <cell r="M64">
            <v>47299</v>
          </cell>
          <cell r="N64">
            <v>44316</v>
          </cell>
        </row>
        <row r="69">
          <cell r="C69">
            <v>21537</v>
          </cell>
          <cell r="D69">
            <v>19453</v>
          </cell>
          <cell r="E69">
            <v>21537</v>
          </cell>
          <cell r="F69">
            <v>20842</v>
          </cell>
          <cell r="G69">
            <v>21537</v>
          </cell>
          <cell r="H69">
            <v>20842</v>
          </cell>
          <cell r="I69">
            <v>21537</v>
          </cell>
          <cell r="J69">
            <v>21537</v>
          </cell>
          <cell r="K69">
            <v>20842</v>
          </cell>
          <cell r="L69">
            <v>21537</v>
          </cell>
          <cell r="M69">
            <v>20842</v>
          </cell>
          <cell r="N69">
            <v>21537</v>
          </cell>
        </row>
        <row r="70">
          <cell r="K70">
            <v>54330</v>
          </cell>
        </row>
        <row r="75">
          <cell r="K75">
            <v>275151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19222.306807565397</v>
          </cell>
          <cell r="J77">
            <v>26138</v>
          </cell>
          <cell r="K77">
            <v>28632</v>
          </cell>
          <cell r="L77">
            <v>30881</v>
          </cell>
          <cell r="M77">
            <v>30227</v>
          </cell>
          <cell r="N77">
            <v>30653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LY REPORT (P.1)"/>
      <sheetName val=" Table summary (P.2)"/>
      <sheetName val="Chart"/>
      <sheetName val="% Load daily"/>
      <sheetName val="Raw Material"/>
      <sheetName val="Cumene (For PE only)"/>
      <sheetName val="Cumene_PP02"/>
      <sheetName val="Cumene_PP90"/>
      <sheetName val="WIP"/>
      <sheetName val="Phenol_Phenol Plant"/>
      <sheetName val="Phenol_TTT Plant"/>
      <sheetName val="Acetone_Phenol Plant"/>
      <sheetName val="Acetone_Thai Tank"/>
      <sheetName val="PPCL By Product"/>
      <sheetName val="Chem"/>
    </sheetNames>
    <sheetDataSet>
      <sheetData sheetId="0" refreshError="1"/>
      <sheetData sheetId="1">
        <row r="31">
          <cell r="F31">
            <v>41640</v>
          </cell>
          <cell r="G31">
            <v>41671</v>
          </cell>
          <cell r="H31">
            <v>41699</v>
          </cell>
          <cell r="I31">
            <v>41730</v>
          </cell>
          <cell r="J31">
            <v>41760</v>
          </cell>
          <cell r="K31">
            <v>41791</v>
          </cell>
          <cell r="L31">
            <v>41821</v>
          </cell>
          <cell r="M31">
            <v>41852</v>
          </cell>
          <cell r="N31">
            <v>41883</v>
          </cell>
          <cell r="O31">
            <v>41913</v>
          </cell>
          <cell r="P31">
            <v>41944</v>
          </cell>
          <cell r="Q31">
            <v>41974</v>
          </cell>
        </row>
        <row r="32">
          <cell r="F32">
            <v>28845.32</v>
          </cell>
          <cell r="G32">
            <v>17511.009999999998</v>
          </cell>
          <cell r="H32">
            <v>3993.46</v>
          </cell>
        </row>
        <row r="34">
          <cell r="G34">
            <v>136</v>
          </cell>
          <cell r="H34">
            <v>3478.1748387096777</v>
          </cell>
        </row>
        <row r="35">
          <cell r="F35">
            <v>51616.480000000003</v>
          </cell>
          <cell r="G35">
            <v>43808.69</v>
          </cell>
          <cell r="H35">
            <v>8018.11</v>
          </cell>
        </row>
        <row r="37">
          <cell r="G37">
            <v>2255</v>
          </cell>
          <cell r="H37">
            <v>7759.4612903225807</v>
          </cell>
        </row>
        <row r="38">
          <cell r="H38">
            <v>3475.38</v>
          </cell>
        </row>
        <row r="41">
          <cell r="H41">
            <v>1463.13498</v>
          </cell>
        </row>
        <row r="44">
          <cell r="H44">
            <v>2012.2450200000001</v>
          </cell>
        </row>
        <row r="50">
          <cell r="G50">
            <v>5476.1039999999994</v>
          </cell>
          <cell r="H50">
            <v>4828.3200000000006</v>
          </cell>
        </row>
        <row r="53">
          <cell r="G53">
            <v>13951.026857142861</v>
          </cell>
          <cell r="H53">
            <v>29659.68</v>
          </cell>
        </row>
        <row r="54">
          <cell r="F54">
            <v>1806</v>
          </cell>
          <cell r="G54">
            <v>2570</v>
          </cell>
          <cell r="H54">
            <v>0</v>
          </cell>
        </row>
        <row r="57">
          <cell r="G57">
            <v>905914.42105263157</v>
          </cell>
          <cell r="H57">
            <v>66785.229000000007</v>
          </cell>
        </row>
        <row r="60">
          <cell r="G60">
            <v>315862.36842105264</v>
          </cell>
          <cell r="H60">
            <v>993297.77100000007</v>
          </cell>
        </row>
        <row r="61">
          <cell r="F61">
            <v>209453</v>
          </cell>
          <cell r="G61">
            <v>153035</v>
          </cell>
          <cell r="H61">
            <v>6999</v>
          </cell>
        </row>
        <row r="63">
          <cell r="G63">
            <v>232</v>
          </cell>
          <cell r="H63">
            <v>0</v>
          </cell>
        </row>
        <row r="64">
          <cell r="F64">
            <v>4415</v>
          </cell>
          <cell r="G64">
            <v>9048</v>
          </cell>
          <cell r="H64">
            <v>4886</v>
          </cell>
        </row>
        <row r="67">
          <cell r="G67">
            <v>3434.0857142857139</v>
          </cell>
          <cell r="H67">
            <v>2285.3870967741932</v>
          </cell>
        </row>
        <row r="70">
          <cell r="G70">
            <v>2575.5642857142857</v>
          </cell>
          <cell r="H70">
            <v>2364.1935483870971</v>
          </cell>
        </row>
        <row r="74">
          <cell r="G74">
            <v>230.09399999999999</v>
          </cell>
          <cell r="H74">
            <v>356.93293548387089</v>
          </cell>
        </row>
        <row r="77">
          <cell r="G77">
            <v>229.04499999999999</v>
          </cell>
          <cell r="H77">
            <v>1389.0493548387099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Report "/>
      <sheetName val="Year 2013 Summary "/>
      <sheetName val="30 Sep13 of Holdups"/>
      <sheetName val="31 Oct13 of Holdups  "/>
      <sheetName val="%Load daily"/>
      <sheetName val="Raw Material"/>
      <sheetName val="Downtime"/>
      <sheetName val="Utility (PI)"/>
      <sheetName val="BPA Product "/>
      <sheetName val="BPA WH"/>
      <sheetName val="PPCL By Product"/>
      <sheetName val="Chem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5">
          <cell r="B5">
            <v>18.503958333333333</v>
          </cell>
          <cell r="D5">
            <v>-6.3948846218409017E-14</v>
          </cell>
          <cell r="I5">
            <v>178.40000000000009</v>
          </cell>
        </row>
        <row r="36">
          <cell r="C36">
            <v>483.22399999999999</v>
          </cell>
          <cell r="E36">
            <v>437.58499999999987</v>
          </cell>
          <cell r="J36">
            <v>1.4210854715202004E-13</v>
          </cell>
        </row>
      </sheetData>
      <sheetData sheetId="9" refreshError="1"/>
      <sheetData sheetId="10" refreshError="1"/>
      <sheetData sheetId="1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 Dec 18 of Holdup "/>
      <sheetName val="31 Jan 19 of Holdup"/>
      <sheetName val="28 Feb 19 of Holdup "/>
      <sheetName val="31 Mar 19 of Holdup "/>
      <sheetName val="30 Apr 19 of Holdup"/>
      <sheetName val="31 May 19 of Holdup"/>
      <sheetName val="30 Jun 19 of Holdup"/>
      <sheetName val="31 Jul 19 of Holdup"/>
      <sheetName val="31 Aug 19 of Holdup"/>
      <sheetName val="30 Sep 19 of Holdup"/>
      <sheetName val="31 Oct 19 of Holdup"/>
      <sheetName val="30 Nov 19 Holdup"/>
      <sheetName val="Year 2014 Summary "/>
      <sheetName val="Chem"/>
      <sheetName val="Monthly Report "/>
      <sheetName val="30 Apr14 of Holdups  "/>
      <sheetName val="27 May 14 of Holdup"/>
      <sheetName val="%Load daily"/>
      <sheetName val="Raw Material"/>
      <sheetName val="Downtime"/>
      <sheetName val="BPA Product "/>
      <sheetName val="BPA WH"/>
      <sheetName val="PPCL By Product"/>
      <sheetName val="Utility (meter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8">
          <cell r="C28">
            <v>41640</v>
          </cell>
        </row>
      </sheetData>
      <sheetData sheetId="13">
        <row r="3">
          <cell r="C3">
            <v>0</v>
          </cell>
          <cell r="D3">
            <v>0</v>
          </cell>
          <cell r="H3">
            <v>0</v>
          </cell>
          <cell r="I3">
            <v>0</v>
          </cell>
          <cell r="M3">
            <v>0</v>
          </cell>
          <cell r="N3">
            <v>0</v>
          </cell>
          <cell r="R3">
            <v>0</v>
          </cell>
          <cell r="S3">
            <v>0</v>
          </cell>
          <cell r="W3">
            <v>0</v>
          </cell>
          <cell r="X3">
            <v>0</v>
          </cell>
          <cell r="AB3">
            <v>0</v>
          </cell>
          <cell r="AC3">
            <v>0</v>
          </cell>
          <cell r="AG3">
            <v>0</v>
          </cell>
          <cell r="AH3">
            <v>0</v>
          </cell>
        </row>
        <row r="4">
          <cell r="C4">
            <v>0</v>
          </cell>
          <cell r="D4">
            <v>0</v>
          </cell>
          <cell r="H4">
            <v>0</v>
          </cell>
          <cell r="I4">
            <v>0</v>
          </cell>
          <cell r="M4">
            <v>0</v>
          </cell>
          <cell r="N4">
            <v>0</v>
          </cell>
          <cell r="R4">
            <v>0</v>
          </cell>
          <cell r="S4">
            <v>0</v>
          </cell>
          <cell r="W4">
            <v>0</v>
          </cell>
          <cell r="X4">
            <v>0</v>
          </cell>
          <cell r="AB4">
            <v>0</v>
          </cell>
          <cell r="AC4">
            <v>0</v>
          </cell>
          <cell r="AG4">
            <v>0</v>
          </cell>
          <cell r="AH4">
            <v>0</v>
          </cell>
        </row>
        <row r="5">
          <cell r="C5">
            <v>0</v>
          </cell>
          <cell r="D5">
            <v>0</v>
          </cell>
          <cell r="H5">
            <v>0</v>
          </cell>
          <cell r="I5">
            <v>0</v>
          </cell>
          <cell r="M5">
            <v>0</v>
          </cell>
          <cell r="N5">
            <v>0</v>
          </cell>
          <cell r="R5">
            <v>0</v>
          </cell>
          <cell r="S5">
            <v>0</v>
          </cell>
          <cell r="W5">
            <v>0</v>
          </cell>
          <cell r="X5">
            <v>0</v>
          </cell>
          <cell r="AB5">
            <v>0</v>
          </cell>
          <cell r="AC5">
            <v>0</v>
          </cell>
          <cell r="AG5">
            <v>0</v>
          </cell>
          <cell r="AH5">
            <v>0</v>
          </cell>
        </row>
        <row r="6">
          <cell r="C6">
            <v>0</v>
          </cell>
          <cell r="D6">
            <v>0</v>
          </cell>
          <cell r="H6">
            <v>0</v>
          </cell>
          <cell r="I6">
            <v>0</v>
          </cell>
          <cell r="M6">
            <v>0</v>
          </cell>
          <cell r="N6">
            <v>0</v>
          </cell>
          <cell r="R6">
            <v>0</v>
          </cell>
          <cell r="S6">
            <v>0</v>
          </cell>
          <cell r="W6">
            <v>0</v>
          </cell>
          <cell r="X6">
            <v>0</v>
          </cell>
          <cell r="AB6">
            <v>0</v>
          </cell>
          <cell r="AC6">
            <v>0</v>
          </cell>
          <cell r="AG6">
            <v>0</v>
          </cell>
          <cell r="AH6">
            <v>0</v>
          </cell>
        </row>
        <row r="7">
          <cell r="C7">
            <v>0</v>
          </cell>
          <cell r="D7">
            <v>0</v>
          </cell>
          <cell r="H7">
            <v>0</v>
          </cell>
          <cell r="I7">
            <v>0</v>
          </cell>
          <cell r="M7">
            <v>0</v>
          </cell>
          <cell r="N7">
            <v>0</v>
          </cell>
          <cell r="R7">
            <v>0</v>
          </cell>
          <cell r="S7">
            <v>0</v>
          </cell>
          <cell r="W7">
            <v>0</v>
          </cell>
          <cell r="X7">
            <v>0</v>
          </cell>
          <cell r="AB7">
            <v>0</v>
          </cell>
          <cell r="AC7">
            <v>0</v>
          </cell>
          <cell r="AG7">
            <v>0</v>
          </cell>
          <cell r="AH7">
            <v>0</v>
          </cell>
        </row>
        <row r="8">
          <cell r="C8">
            <v>0</v>
          </cell>
          <cell r="D8">
            <v>0</v>
          </cell>
          <cell r="H8">
            <v>0</v>
          </cell>
          <cell r="I8">
            <v>0</v>
          </cell>
          <cell r="M8">
            <v>0</v>
          </cell>
          <cell r="N8">
            <v>0</v>
          </cell>
          <cell r="R8">
            <v>0</v>
          </cell>
          <cell r="S8">
            <v>0</v>
          </cell>
          <cell r="W8">
            <v>0</v>
          </cell>
          <cell r="X8">
            <v>0</v>
          </cell>
          <cell r="AB8">
            <v>0</v>
          </cell>
          <cell r="AC8">
            <v>0</v>
          </cell>
          <cell r="AG8">
            <v>0</v>
          </cell>
          <cell r="AH8">
            <v>0</v>
          </cell>
        </row>
        <row r="9">
          <cell r="C9">
            <v>0</v>
          </cell>
          <cell r="D9">
            <v>0</v>
          </cell>
          <cell r="H9">
            <v>0</v>
          </cell>
          <cell r="I9">
            <v>0</v>
          </cell>
          <cell r="M9">
            <v>0</v>
          </cell>
          <cell r="N9">
            <v>0</v>
          </cell>
          <cell r="R9">
            <v>0</v>
          </cell>
          <cell r="S9">
            <v>0</v>
          </cell>
          <cell r="W9">
            <v>0</v>
          </cell>
          <cell r="X9">
            <v>0</v>
          </cell>
          <cell r="AB9">
            <v>0</v>
          </cell>
          <cell r="AC9">
            <v>0</v>
          </cell>
          <cell r="AG9">
            <v>0</v>
          </cell>
          <cell r="AH9">
            <v>0</v>
          </cell>
        </row>
        <row r="10">
          <cell r="C10">
            <v>0</v>
          </cell>
          <cell r="D10">
            <v>0</v>
          </cell>
          <cell r="H10">
            <v>0</v>
          </cell>
          <cell r="I10">
            <v>0</v>
          </cell>
          <cell r="M10">
            <v>0</v>
          </cell>
          <cell r="N10">
            <v>0</v>
          </cell>
          <cell r="R10">
            <v>0</v>
          </cell>
          <cell r="S10">
            <v>0</v>
          </cell>
          <cell r="W10">
            <v>0</v>
          </cell>
          <cell r="X10">
            <v>0</v>
          </cell>
          <cell r="AB10">
            <v>0</v>
          </cell>
          <cell r="AC10">
            <v>0</v>
          </cell>
          <cell r="AG10">
            <v>0</v>
          </cell>
          <cell r="AH10">
            <v>0</v>
          </cell>
        </row>
        <row r="11">
          <cell r="C11">
            <v>0</v>
          </cell>
          <cell r="D11">
            <v>0</v>
          </cell>
          <cell r="H11">
            <v>0</v>
          </cell>
          <cell r="I11">
            <v>0</v>
          </cell>
          <cell r="M11">
            <v>0</v>
          </cell>
          <cell r="N11">
            <v>0</v>
          </cell>
          <cell r="R11">
            <v>0</v>
          </cell>
          <cell r="S11">
            <v>0</v>
          </cell>
          <cell r="W11">
            <v>0</v>
          </cell>
          <cell r="X11">
            <v>0</v>
          </cell>
          <cell r="AB11">
            <v>0</v>
          </cell>
          <cell r="AC11">
            <v>0</v>
          </cell>
          <cell r="AG11">
            <v>0</v>
          </cell>
          <cell r="AH11">
            <v>0</v>
          </cell>
        </row>
        <row r="12">
          <cell r="C12">
            <v>0</v>
          </cell>
          <cell r="D12">
            <v>0</v>
          </cell>
          <cell r="H12">
            <v>0</v>
          </cell>
          <cell r="I12">
            <v>0</v>
          </cell>
          <cell r="M12">
            <v>0</v>
          </cell>
          <cell r="N12">
            <v>0</v>
          </cell>
          <cell r="R12">
            <v>0</v>
          </cell>
          <cell r="S12">
            <v>0</v>
          </cell>
          <cell r="W12">
            <v>0</v>
          </cell>
          <cell r="X12">
            <v>0</v>
          </cell>
          <cell r="AB12">
            <v>0</v>
          </cell>
          <cell r="AC12">
            <v>0</v>
          </cell>
          <cell r="AG12">
            <v>0</v>
          </cell>
          <cell r="AH12">
            <v>0</v>
          </cell>
        </row>
        <row r="13">
          <cell r="C13">
            <v>0</v>
          </cell>
          <cell r="D13">
            <v>0</v>
          </cell>
          <cell r="H13">
            <v>0</v>
          </cell>
          <cell r="I13">
            <v>0</v>
          </cell>
          <cell r="M13">
            <v>0</v>
          </cell>
          <cell r="N13">
            <v>0</v>
          </cell>
          <cell r="R13">
            <v>0</v>
          </cell>
          <cell r="S13">
            <v>0</v>
          </cell>
          <cell r="W13">
            <v>0</v>
          </cell>
          <cell r="X13">
            <v>0</v>
          </cell>
          <cell r="AB13">
            <v>0</v>
          </cell>
          <cell r="AC13">
            <v>0</v>
          </cell>
          <cell r="AG13">
            <v>0</v>
          </cell>
          <cell r="AH13">
            <v>0</v>
          </cell>
        </row>
        <row r="14">
          <cell r="C14">
            <v>0</v>
          </cell>
          <cell r="D14">
            <v>0</v>
          </cell>
          <cell r="H14">
            <v>0</v>
          </cell>
          <cell r="I14">
            <v>0</v>
          </cell>
          <cell r="M14">
            <v>0</v>
          </cell>
          <cell r="N14">
            <v>0</v>
          </cell>
          <cell r="R14">
            <v>0</v>
          </cell>
          <cell r="S14">
            <v>0</v>
          </cell>
          <cell r="W14">
            <v>0</v>
          </cell>
          <cell r="X14">
            <v>0</v>
          </cell>
          <cell r="AB14">
            <v>0</v>
          </cell>
          <cell r="AC14">
            <v>0</v>
          </cell>
          <cell r="AG14">
            <v>0</v>
          </cell>
          <cell r="AH14">
            <v>0</v>
          </cell>
        </row>
        <row r="15">
          <cell r="C15">
            <v>0</v>
          </cell>
          <cell r="D15">
            <v>0</v>
          </cell>
          <cell r="H15">
            <v>0</v>
          </cell>
          <cell r="I15">
            <v>0</v>
          </cell>
          <cell r="M15">
            <v>0</v>
          </cell>
          <cell r="N15">
            <v>0</v>
          </cell>
          <cell r="R15">
            <v>0</v>
          </cell>
          <cell r="S15">
            <v>0</v>
          </cell>
          <cell r="W15">
            <v>0</v>
          </cell>
          <cell r="X15">
            <v>0</v>
          </cell>
          <cell r="AB15">
            <v>0</v>
          </cell>
          <cell r="AC15">
            <v>0</v>
          </cell>
          <cell r="AG15">
            <v>0</v>
          </cell>
          <cell r="AH15">
            <v>0</v>
          </cell>
        </row>
        <row r="16">
          <cell r="C16">
            <v>0</v>
          </cell>
          <cell r="D16">
            <v>0</v>
          </cell>
          <cell r="H16">
            <v>0</v>
          </cell>
          <cell r="I16">
            <v>0</v>
          </cell>
          <cell r="M16">
            <v>0</v>
          </cell>
          <cell r="N16">
            <v>0</v>
          </cell>
          <cell r="R16">
            <v>0</v>
          </cell>
          <cell r="S16">
            <v>0</v>
          </cell>
          <cell r="W16">
            <v>0</v>
          </cell>
          <cell r="X16">
            <v>0</v>
          </cell>
          <cell r="AB16">
            <v>0</v>
          </cell>
          <cell r="AC16">
            <v>0</v>
          </cell>
          <cell r="AG16">
            <v>0</v>
          </cell>
          <cell r="AH16">
            <v>0</v>
          </cell>
        </row>
        <row r="17">
          <cell r="C17">
            <v>0</v>
          </cell>
          <cell r="D17">
            <v>0</v>
          </cell>
          <cell r="H17">
            <v>0</v>
          </cell>
          <cell r="I17">
            <v>0</v>
          </cell>
          <cell r="M17">
            <v>0</v>
          </cell>
          <cell r="N17">
            <v>0</v>
          </cell>
          <cell r="R17">
            <v>0</v>
          </cell>
          <cell r="S17">
            <v>0</v>
          </cell>
          <cell r="W17">
            <v>0</v>
          </cell>
          <cell r="X17">
            <v>0</v>
          </cell>
          <cell r="AB17">
            <v>0</v>
          </cell>
          <cell r="AC17">
            <v>0</v>
          </cell>
          <cell r="AG17">
            <v>0</v>
          </cell>
          <cell r="AH17">
            <v>0</v>
          </cell>
        </row>
        <row r="18">
          <cell r="C18">
            <v>0</v>
          </cell>
          <cell r="D18">
            <v>0</v>
          </cell>
          <cell r="H18">
            <v>0</v>
          </cell>
          <cell r="I18">
            <v>0</v>
          </cell>
          <cell r="M18">
            <v>0</v>
          </cell>
          <cell r="N18">
            <v>0</v>
          </cell>
          <cell r="R18">
            <v>0</v>
          </cell>
          <cell r="S18">
            <v>0</v>
          </cell>
          <cell r="W18">
            <v>0</v>
          </cell>
          <cell r="X18">
            <v>0</v>
          </cell>
          <cell r="AB18">
            <v>0</v>
          </cell>
          <cell r="AC18">
            <v>0</v>
          </cell>
          <cell r="AG18">
            <v>0</v>
          </cell>
          <cell r="AH18">
            <v>0</v>
          </cell>
        </row>
        <row r="19">
          <cell r="C19">
            <v>0</v>
          </cell>
          <cell r="D19">
            <v>0</v>
          </cell>
          <cell r="H19">
            <v>0</v>
          </cell>
          <cell r="I19">
            <v>0</v>
          </cell>
          <cell r="M19">
            <v>0</v>
          </cell>
          <cell r="N19">
            <v>0</v>
          </cell>
          <cell r="R19">
            <v>0</v>
          </cell>
          <cell r="S19">
            <v>0</v>
          </cell>
          <cell r="W19">
            <v>0</v>
          </cell>
          <cell r="X19">
            <v>0</v>
          </cell>
          <cell r="AB19">
            <v>0</v>
          </cell>
          <cell r="AC19">
            <v>0</v>
          </cell>
          <cell r="AG19">
            <v>0</v>
          </cell>
          <cell r="AH19">
            <v>0</v>
          </cell>
        </row>
        <row r="20">
          <cell r="C20">
            <v>0</v>
          </cell>
          <cell r="D20">
            <v>0</v>
          </cell>
          <cell r="H20">
            <v>0</v>
          </cell>
          <cell r="I20">
            <v>0</v>
          </cell>
          <cell r="M20">
            <v>0</v>
          </cell>
          <cell r="N20">
            <v>0</v>
          </cell>
          <cell r="R20">
            <v>0</v>
          </cell>
          <cell r="S20">
            <v>0</v>
          </cell>
          <cell r="W20">
            <v>0</v>
          </cell>
          <cell r="X20">
            <v>0</v>
          </cell>
          <cell r="AB20">
            <v>0</v>
          </cell>
          <cell r="AC20">
            <v>0</v>
          </cell>
          <cell r="AG20">
            <v>0</v>
          </cell>
          <cell r="AH20">
            <v>0</v>
          </cell>
        </row>
        <row r="21">
          <cell r="C21">
            <v>0</v>
          </cell>
          <cell r="D21">
            <v>0</v>
          </cell>
          <cell r="H21">
            <v>0</v>
          </cell>
          <cell r="I21">
            <v>0</v>
          </cell>
          <cell r="M21">
            <v>0</v>
          </cell>
          <cell r="N21">
            <v>0</v>
          </cell>
          <cell r="R21">
            <v>0</v>
          </cell>
          <cell r="S21">
            <v>0</v>
          </cell>
          <cell r="W21">
            <v>0</v>
          </cell>
          <cell r="X21">
            <v>0</v>
          </cell>
          <cell r="AB21">
            <v>0</v>
          </cell>
          <cell r="AC21">
            <v>0</v>
          </cell>
          <cell r="AG21">
            <v>0</v>
          </cell>
          <cell r="AH21">
            <v>0</v>
          </cell>
        </row>
        <row r="22">
          <cell r="C22">
            <v>0</v>
          </cell>
          <cell r="D22">
            <v>0</v>
          </cell>
          <cell r="H22">
            <v>0</v>
          </cell>
          <cell r="I22">
            <v>0</v>
          </cell>
          <cell r="M22">
            <v>0</v>
          </cell>
          <cell r="N22">
            <v>0</v>
          </cell>
          <cell r="R22">
            <v>0</v>
          </cell>
          <cell r="S22">
            <v>0</v>
          </cell>
          <cell r="W22">
            <v>0</v>
          </cell>
          <cell r="X22">
            <v>0</v>
          </cell>
          <cell r="AB22">
            <v>0</v>
          </cell>
          <cell r="AC22">
            <v>0</v>
          </cell>
          <cell r="AG22">
            <v>0</v>
          </cell>
          <cell r="AH22">
            <v>0</v>
          </cell>
        </row>
        <row r="23">
          <cell r="C23">
            <v>0</v>
          </cell>
          <cell r="D23">
            <v>0</v>
          </cell>
          <cell r="H23">
            <v>0</v>
          </cell>
          <cell r="I23">
            <v>0</v>
          </cell>
          <cell r="M23">
            <v>0</v>
          </cell>
          <cell r="N23">
            <v>0</v>
          </cell>
          <cell r="R23">
            <v>0</v>
          </cell>
          <cell r="S23">
            <v>0</v>
          </cell>
          <cell r="W23">
            <v>0</v>
          </cell>
          <cell r="X23">
            <v>0</v>
          </cell>
          <cell r="AB23">
            <v>0</v>
          </cell>
          <cell r="AC23">
            <v>0</v>
          </cell>
          <cell r="AG23">
            <v>0</v>
          </cell>
          <cell r="AH23">
            <v>0</v>
          </cell>
        </row>
        <row r="24">
          <cell r="C24">
            <v>0</v>
          </cell>
          <cell r="D24">
            <v>0</v>
          </cell>
          <cell r="H24">
            <v>0</v>
          </cell>
          <cell r="I24">
            <v>0</v>
          </cell>
          <cell r="M24">
            <v>0</v>
          </cell>
          <cell r="N24">
            <v>0</v>
          </cell>
          <cell r="R24">
            <v>0</v>
          </cell>
          <cell r="S24">
            <v>0</v>
          </cell>
          <cell r="W24">
            <v>0</v>
          </cell>
          <cell r="X24">
            <v>0</v>
          </cell>
          <cell r="AB24">
            <v>0</v>
          </cell>
          <cell r="AC24">
            <v>0</v>
          </cell>
          <cell r="AG24">
            <v>0</v>
          </cell>
          <cell r="AH24">
            <v>0</v>
          </cell>
        </row>
        <row r="25">
          <cell r="C25">
            <v>0</v>
          </cell>
          <cell r="D25">
            <v>0</v>
          </cell>
          <cell r="H25">
            <v>0</v>
          </cell>
          <cell r="I25">
            <v>0</v>
          </cell>
          <cell r="M25">
            <v>0</v>
          </cell>
          <cell r="N25">
            <v>0</v>
          </cell>
          <cell r="R25">
            <v>0</v>
          </cell>
          <cell r="S25">
            <v>0</v>
          </cell>
          <cell r="W25">
            <v>0</v>
          </cell>
          <cell r="X25">
            <v>0</v>
          </cell>
          <cell r="AB25">
            <v>0</v>
          </cell>
          <cell r="AC25">
            <v>0</v>
          </cell>
          <cell r="AG25">
            <v>0</v>
          </cell>
          <cell r="AH25">
            <v>0</v>
          </cell>
        </row>
        <row r="26">
          <cell r="C26">
            <v>0</v>
          </cell>
          <cell r="D26">
            <v>0</v>
          </cell>
          <cell r="H26">
            <v>0</v>
          </cell>
          <cell r="I26">
            <v>0</v>
          </cell>
          <cell r="M26">
            <v>0</v>
          </cell>
          <cell r="N26">
            <v>0</v>
          </cell>
          <cell r="R26">
            <v>0</v>
          </cell>
          <cell r="S26">
            <v>0</v>
          </cell>
          <cell r="W26">
            <v>0</v>
          </cell>
          <cell r="X26">
            <v>0</v>
          </cell>
          <cell r="AB26">
            <v>0</v>
          </cell>
          <cell r="AC26">
            <v>0</v>
          </cell>
          <cell r="AG26">
            <v>0</v>
          </cell>
          <cell r="AH26">
            <v>0</v>
          </cell>
        </row>
        <row r="27">
          <cell r="C27">
            <v>0</v>
          </cell>
          <cell r="D27">
            <v>0</v>
          </cell>
          <cell r="H27">
            <v>0</v>
          </cell>
          <cell r="I27">
            <v>0</v>
          </cell>
          <cell r="M27">
            <v>0</v>
          </cell>
          <cell r="N27">
            <v>0</v>
          </cell>
          <cell r="R27">
            <v>0</v>
          </cell>
          <cell r="S27">
            <v>0</v>
          </cell>
          <cell r="W27">
            <v>0</v>
          </cell>
          <cell r="X27">
            <v>0</v>
          </cell>
          <cell r="AB27">
            <v>0</v>
          </cell>
          <cell r="AC27">
            <v>0</v>
          </cell>
          <cell r="AG27">
            <v>0</v>
          </cell>
          <cell r="AH27">
            <v>0</v>
          </cell>
        </row>
        <row r="28">
          <cell r="C28">
            <v>0</v>
          </cell>
          <cell r="D28">
            <v>0</v>
          </cell>
          <cell r="H28">
            <v>0</v>
          </cell>
          <cell r="I28">
            <v>0</v>
          </cell>
          <cell r="M28">
            <v>0</v>
          </cell>
          <cell r="N28">
            <v>0</v>
          </cell>
          <cell r="R28">
            <v>0</v>
          </cell>
          <cell r="S28">
            <v>0</v>
          </cell>
          <cell r="W28">
            <v>0</v>
          </cell>
          <cell r="X28">
            <v>0</v>
          </cell>
          <cell r="AB28">
            <v>0</v>
          </cell>
          <cell r="AC28">
            <v>0</v>
          </cell>
          <cell r="AG28">
            <v>0</v>
          </cell>
          <cell r="AH28">
            <v>0</v>
          </cell>
        </row>
        <row r="29">
          <cell r="C29">
            <v>0</v>
          </cell>
          <cell r="D29">
            <v>0</v>
          </cell>
          <cell r="H29">
            <v>0</v>
          </cell>
          <cell r="I29">
            <v>0</v>
          </cell>
          <cell r="M29">
            <v>0</v>
          </cell>
          <cell r="N29">
            <v>0</v>
          </cell>
          <cell r="R29">
            <v>0</v>
          </cell>
          <cell r="S29">
            <v>0</v>
          </cell>
          <cell r="W29">
            <v>0</v>
          </cell>
          <cell r="X29">
            <v>0</v>
          </cell>
          <cell r="AB29">
            <v>0</v>
          </cell>
          <cell r="AC29">
            <v>0</v>
          </cell>
          <cell r="AG29">
            <v>0</v>
          </cell>
          <cell r="AH29">
            <v>0</v>
          </cell>
        </row>
        <row r="30">
          <cell r="C30">
            <v>0</v>
          </cell>
          <cell r="D30">
            <v>0</v>
          </cell>
          <cell r="H30">
            <v>0</v>
          </cell>
          <cell r="I30">
            <v>0</v>
          </cell>
          <cell r="M30">
            <v>0</v>
          </cell>
          <cell r="N30">
            <v>0</v>
          </cell>
          <cell r="R30">
            <v>0</v>
          </cell>
          <cell r="S30">
            <v>0</v>
          </cell>
          <cell r="W30">
            <v>0</v>
          </cell>
          <cell r="X30">
            <v>0</v>
          </cell>
          <cell r="AB30">
            <v>0</v>
          </cell>
          <cell r="AC30">
            <v>0</v>
          </cell>
          <cell r="AG30">
            <v>0</v>
          </cell>
          <cell r="AH30">
            <v>0</v>
          </cell>
        </row>
      </sheetData>
      <sheetData sheetId="14">
        <row r="110">
          <cell r="D110">
            <v>2835.068303243831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คำอธิบายการกรอก Template"/>
      <sheetName val="ตัวอย่างการกรอก"/>
      <sheetName val="PTTCH"/>
      <sheetName val="PTTPM"/>
      <sheetName val="วัตถุประสงค์ที่ 3"/>
      <sheetName val="วัตถุประสงค์ที่ 4"/>
      <sheetName val="วัตถุประสงค์ที่ 5"/>
      <sheetName val="DropDown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I2">
            <v>38718</v>
          </cell>
        </row>
        <row r="3">
          <cell r="I3">
            <v>38749</v>
          </cell>
        </row>
        <row r="4">
          <cell r="I4">
            <v>38777</v>
          </cell>
        </row>
        <row r="5">
          <cell r="I5">
            <v>38808</v>
          </cell>
        </row>
        <row r="6">
          <cell r="I6">
            <v>38838</v>
          </cell>
        </row>
        <row r="7">
          <cell r="I7">
            <v>38869</v>
          </cell>
        </row>
        <row r="8">
          <cell r="I8">
            <v>38899</v>
          </cell>
        </row>
        <row r="9">
          <cell r="I9">
            <v>38930</v>
          </cell>
        </row>
        <row r="10">
          <cell r="I10">
            <v>38961</v>
          </cell>
        </row>
        <row r="11">
          <cell r="I11">
            <v>38991</v>
          </cell>
        </row>
        <row r="12">
          <cell r="I12">
            <v>39022</v>
          </cell>
        </row>
        <row r="13">
          <cell r="I13">
            <v>39052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BSC "/>
      <sheetName val="Initiative "/>
      <sheetName val="Cause &amp; Effect Chain"/>
      <sheetName val="Value Driver Tree"/>
      <sheetName val="BSC (example)"/>
      <sheetName val="Initiative(exaple)"/>
      <sheetName val="Cover"/>
      <sheetName val="MC"/>
      <sheetName val="Description"/>
      <sheetName val="Status &amp; Score"/>
      <sheetName val="Example"/>
      <sheetName val="Selection obj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Financial</v>
          </cell>
          <cell r="C2" t="str">
            <v>Positive</v>
          </cell>
          <cell r="E2" t="str">
            <v>Annually</v>
          </cell>
          <cell r="G2" t="str">
            <v>SAP</v>
          </cell>
          <cell r="I2" t="str">
            <v>50000000 สนญ.</v>
          </cell>
          <cell r="K2" t="str">
            <v>10010101 สวญ.</v>
          </cell>
        </row>
        <row r="3">
          <cell r="A3" t="str">
            <v>Customer</v>
          </cell>
          <cell r="C3" t="str">
            <v>Negative</v>
          </cell>
          <cell r="E3" t="str">
            <v>Quarterly</v>
          </cell>
          <cell r="G3" t="str">
            <v>BW</v>
          </cell>
          <cell r="I3" t="str">
            <v>50000010 คปก.</v>
          </cell>
          <cell r="K3" t="str">
            <v>10010102 วจญ.</v>
          </cell>
        </row>
        <row r="4">
          <cell r="A4" t="str">
            <v>Internal Process</v>
          </cell>
          <cell r="E4" t="str">
            <v>Monthly</v>
          </cell>
          <cell r="G4" t="str">
            <v>Manual</v>
          </cell>
          <cell r="I4" t="str">
            <v>50001000 ปพญ.</v>
          </cell>
          <cell r="K4" t="str">
            <v>10010103 ผค.วจญ.</v>
          </cell>
        </row>
        <row r="5">
          <cell r="A5" t="str">
            <v>Learning &amp; Growth</v>
          </cell>
          <cell r="I5" t="str">
            <v>50001010 ผพ.ปพญ.</v>
          </cell>
          <cell r="K5" t="str">
            <v>10010104 วต.วจญ.</v>
          </cell>
        </row>
        <row r="6">
          <cell r="I6" t="str">
            <v>50001020 บพ.ปพญ.</v>
          </cell>
          <cell r="K6" t="str">
            <v>10010105 ขจ.วจญ.</v>
          </cell>
        </row>
        <row r="7">
          <cell r="I7" t="str">
            <v>50001030 มพ.ปพญ.</v>
          </cell>
          <cell r="K7" t="str">
            <v>10010106 วส.วจญ.</v>
          </cell>
        </row>
        <row r="8">
          <cell r="I8" t="str">
            <v>50001040 สท.ปพญ.</v>
          </cell>
          <cell r="K8" t="str">
            <v>10010107 วลญ.</v>
          </cell>
        </row>
        <row r="9">
          <cell r="I9" t="str">
            <v>50002000 สผญ.</v>
          </cell>
          <cell r="K9" t="str">
            <v>10010108 วยญ.</v>
          </cell>
        </row>
        <row r="10">
          <cell r="I10" t="str">
            <v>50020000 สวญ.</v>
          </cell>
          <cell r="K10" t="str">
            <v>10010109 วปญ.</v>
          </cell>
        </row>
        <row r="11">
          <cell r="I11" t="str">
            <v>50021000 วจญ.</v>
          </cell>
          <cell r="K11" t="str">
            <v>10010201 รกญ.</v>
          </cell>
        </row>
        <row r="12">
          <cell r="I12" t="str">
            <v>50021010 ผค.วจญ.</v>
          </cell>
          <cell r="K12" t="str">
            <v>10010202 พอญ.</v>
          </cell>
        </row>
        <row r="13">
          <cell r="I13" t="str">
            <v>50021020 วต.วจญ.</v>
          </cell>
          <cell r="K13" t="str">
            <v>10010203 คพอ.</v>
          </cell>
        </row>
        <row r="14">
          <cell r="I14" t="str">
            <v>50021030 ขจ.วจญ.</v>
          </cell>
          <cell r="K14" t="str">
            <v>10010204 คปร.</v>
          </cell>
        </row>
        <row r="15">
          <cell r="I15" t="str">
            <v>50021040 วส.วจญ.</v>
          </cell>
          <cell r="K15" t="str">
            <v>10010205 ผกญ.</v>
          </cell>
        </row>
        <row r="16">
          <cell r="I16" t="str">
            <v>50022000 วลญ.</v>
          </cell>
          <cell r="K16" t="str">
            <v>10010206 ขธ.ผกญ.</v>
          </cell>
        </row>
        <row r="17">
          <cell r="I17" t="str">
            <v>50023000 วยญ.</v>
          </cell>
          <cell r="K17" t="str">
            <v>10010208 ฝธญ.</v>
          </cell>
        </row>
        <row r="18">
          <cell r="I18" t="str">
            <v>50024000 วปญ.</v>
          </cell>
          <cell r="K18" t="str">
            <v>10010209 คปร.2</v>
          </cell>
        </row>
        <row r="19">
          <cell r="I19" t="str">
            <v>50030000 สตญ.</v>
          </cell>
          <cell r="K19" t="str">
            <v>10010210 บอ.รกญ.</v>
          </cell>
        </row>
        <row r="20">
          <cell r="I20" t="str">
            <v>51000000 รกญ.</v>
          </cell>
          <cell r="K20" t="str">
            <v>10010211 วนญ.</v>
          </cell>
        </row>
        <row r="21">
          <cell r="I21" t="str">
            <v>51000010 บอ.รกญ.</v>
          </cell>
          <cell r="K21" t="str">
            <v>10010212 นต.วนญ.</v>
          </cell>
        </row>
        <row r="22">
          <cell r="I22" t="str">
            <v>51001000 พอญ.</v>
          </cell>
          <cell r="K22" t="str">
            <v>10010213 ขธ.วนญ.</v>
          </cell>
        </row>
        <row r="23">
          <cell r="I23" t="str">
            <v>51002000 คพอ.</v>
          </cell>
          <cell r="K23" t="str">
            <v>10010214 ผง.ผกญ.</v>
          </cell>
        </row>
        <row r="24">
          <cell r="I24" t="str">
            <v>51003000 คปร.</v>
          </cell>
          <cell r="K24" t="str">
            <v>10010215 บง.ผกญ.</v>
          </cell>
        </row>
        <row r="25">
          <cell r="I25" t="str">
            <v>51004000 คปร.2</v>
          </cell>
          <cell r="K25" t="str">
            <v>10010216 ผพญ.</v>
          </cell>
        </row>
        <row r="26">
          <cell r="I26" t="str">
            <v>51005000 วนญ.</v>
          </cell>
          <cell r="K26" t="str">
            <v>10010301 ศรญ.</v>
          </cell>
        </row>
        <row r="27">
          <cell r="I27" t="str">
            <v>51005010 นต.วนญ.</v>
          </cell>
          <cell r="K27" t="str">
            <v>10010302 วสญ.</v>
          </cell>
        </row>
        <row r="28">
          <cell r="I28" t="str">
            <v>51005020 ขธ.วนญ.</v>
          </cell>
          <cell r="K28" t="str">
            <v>10010303 บส.ฝผญ.</v>
          </cell>
        </row>
        <row r="29">
          <cell r="I29" t="str">
            <v>51010000 ผกญ.</v>
          </cell>
          <cell r="K29" t="str">
            <v>10010304 พรญ.</v>
          </cell>
        </row>
        <row r="30">
          <cell r="I30" t="str">
            <v>51010010 ขธ.ผกญ.</v>
          </cell>
          <cell r="K30" t="str">
            <v>10010305 พส.พรญ.</v>
          </cell>
        </row>
        <row r="31">
          <cell r="I31" t="str">
            <v>51010020 ผป.ผกญ.</v>
          </cell>
          <cell r="K31" t="str">
            <v>10010308 พป.พรญ.</v>
          </cell>
        </row>
        <row r="32">
          <cell r="I32" t="str">
            <v>51010030 บง.ผกญ.</v>
          </cell>
          <cell r="K32" t="str">
            <v>10010311 พก.ฝรญ.</v>
          </cell>
        </row>
        <row r="33">
          <cell r="I33" t="str">
            <v>51011000 ลทญ.</v>
          </cell>
          <cell r="K33" t="str">
            <v>10010314 พธ.ฝรญ.</v>
          </cell>
        </row>
        <row r="34">
          <cell r="I34" t="str">
            <v>51012000 ฝธญ.</v>
          </cell>
          <cell r="K34" t="str">
            <v>10010317 พข.พรญ.</v>
          </cell>
        </row>
        <row r="35">
          <cell r="I35" t="str">
            <v>51020000 ศรญ.</v>
          </cell>
          <cell r="K35" t="str">
            <v>10010320 ปคญ.</v>
          </cell>
        </row>
        <row r="36">
          <cell r="I36" t="str">
            <v>51021000 วสญ.</v>
          </cell>
          <cell r="K36" t="str">
            <v>10010321 สบ.ปคญ.</v>
          </cell>
        </row>
        <row r="37">
          <cell r="I37" t="str">
            <v>51021010 บส.วสญ.</v>
          </cell>
          <cell r="K37" t="str">
            <v>10010324 บฐ.ปคญ.</v>
          </cell>
        </row>
        <row r="38">
          <cell r="I38" t="str">
            <v>51021020 มป.วสญ.</v>
          </cell>
          <cell r="K38" t="str">
            <v>10010327 รค.ปคญ.</v>
          </cell>
        </row>
        <row r="39">
          <cell r="I39" t="str">
            <v>51021030 ลส.วสญ.</v>
          </cell>
          <cell r="K39" t="str">
            <v>10010330 คร.ปคญ.</v>
          </cell>
        </row>
        <row r="40">
          <cell r="I40" t="str">
            <v>51021040 คก.วสญ.</v>
          </cell>
          <cell r="K40" t="str">
            <v>10010331 วร.ปคญ.</v>
          </cell>
        </row>
        <row r="41">
          <cell r="I41" t="str">
            <v>51022000 พรญ.</v>
          </cell>
          <cell r="K41" t="str">
            <v>10010334 ปบ.ปคญ.</v>
          </cell>
        </row>
        <row r="42">
          <cell r="I42" t="str">
            <v>51022010 พส.พรญ.</v>
          </cell>
          <cell r="K42" t="str">
            <v>10010341 มป.วสญ.</v>
          </cell>
        </row>
        <row r="43">
          <cell r="I43" t="str">
            <v>51022020 พป.พรญ.</v>
          </cell>
          <cell r="K43" t="str">
            <v>10010342 ลส.วสญ.</v>
          </cell>
        </row>
        <row r="44">
          <cell r="I44" t="str">
            <v>51022030 พก.พรญ.</v>
          </cell>
          <cell r="K44" t="str">
            <v>10010343 คก.วสญ.</v>
          </cell>
        </row>
        <row r="45">
          <cell r="I45" t="str">
            <v>51022040 พธ.พรญ.</v>
          </cell>
          <cell r="K45" t="str">
            <v>10010344 พค.พรญ.</v>
          </cell>
        </row>
        <row r="46">
          <cell r="I46" t="str">
            <v>51022050 พข.พรญ.</v>
          </cell>
          <cell r="K46" t="str">
            <v>10010347 พช.พรญ.</v>
          </cell>
        </row>
        <row r="47">
          <cell r="I47" t="str">
            <v>51022060 พค.พรญ.</v>
          </cell>
          <cell r="K47" t="str">
            <v>10010350 พซ.พรญ.</v>
          </cell>
        </row>
        <row r="48">
          <cell r="I48" t="str">
            <v>51022070 พช.พรญ.</v>
          </cell>
          <cell r="K48" t="str">
            <v>10010353 พจ.พรญ.</v>
          </cell>
        </row>
        <row r="49">
          <cell r="I49" t="str">
            <v>51022080 พซ.พรญ.</v>
          </cell>
          <cell r="K49" t="str">
            <v>10010356 ผ.บส.ปคญ.</v>
          </cell>
        </row>
        <row r="50">
          <cell r="I50" t="str">
            <v>51022090 พจ.พรญ.</v>
          </cell>
          <cell r="K50" t="str">
            <v>10010401 รงญ.</v>
          </cell>
        </row>
        <row r="51">
          <cell r="I51" t="str">
            <v>51023000 ปคญ.</v>
          </cell>
          <cell r="K51" t="str">
            <v>10010402 บชญ.</v>
          </cell>
        </row>
        <row r="52">
          <cell r="I52" t="str">
            <v>51023001 ผ.บส.ปคญ.</v>
          </cell>
          <cell r="K52" t="str">
            <v>10010403 บห.บชญ.</v>
          </cell>
        </row>
        <row r="53">
          <cell r="I53" t="str">
            <v>51023010 สบ.ปคญ.</v>
          </cell>
          <cell r="K53" t="str">
            <v>10010404 บช.บชญ.</v>
          </cell>
        </row>
        <row r="54">
          <cell r="I54" t="str">
            <v>51023020 บฐ.ปคญ.</v>
          </cell>
          <cell r="K54" t="str">
            <v>10010405 งง.บชญ.</v>
          </cell>
        </row>
        <row r="55">
          <cell r="I55" t="str">
            <v>51023030 รค.ปคญ.</v>
          </cell>
          <cell r="K55" t="str">
            <v>10010406 บม.ฝชญ.</v>
          </cell>
        </row>
        <row r="56">
          <cell r="I56" t="str">
            <v>51023040 คร.ปคญ.</v>
          </cell>
          <cell r="K56" t="str">
            <v>10010407 ปภญ.</v>
          </cell>
        </row>
        <row r="57">
          <cell r="I57" t="str">
            <v>51023050 วร.ปคญ.</v>
          </cell>
          <cell r="K57" t="str">
            <v>10010408 ผงญ.</v>
          </cell>
        </row>
        <row r="58">
          <cell r="I58" t="str">
            <v>51023060 ปบ.ปคญ.</v>
          </cell>
          <cell r="K58" t="str">
            <v>10010409 งอญ.</v>
          </cell>
        </row>
        <row r="59">
          <cell r="I59" t="str">
            <v>51030000 ผพญ.</v>
          </cell>
          <cell r="K59" t="str">
            <v>10010410 งก.งอญ.</v>
          </cell>
        </row>
        <row r="60">
          <cell r="I60" t="str">
            <v>52000000 รงญ.</v>
          </cell>
          <cell r="K60" t="str">
            <v>10010411 ตท.ฝจญ.</v>
          </cell>
        </row>
        <row r="61">
          <cell r="I61" t="str">
            <v>52000010 ตท.รงญ.</v>
          </cell>
          <cell r="K61" t="str">
            <v>10010412 ผง.งอญ</v>
          </cell>
        </row>
        <row r="62">
          <cell r="I62" t="str">
            <v>52001000 บชญ.</v>
          </cell>
          <cell r="K62" t="str">
            <v>10010413 บสญ.</v>
          </cell>
        </row>
        <row r="63">
          <cell r="I63" t="str">
            <v>52001010 บห.บชญ.</v>
          </cell>
          <cell r="K63" t="str">
            <v>10010414 สง.บสญ.</v>
          </cell>
        </row>
        <row r="64">
          <cell r="I64" t="str">
            <v>52001020 บช.บชญ.</v>
          </cell>
          <cell r="K64" t="str">
            <v>10010415 หส.ฝงญ.</v>
          </cell>
        </row>
        <row r="65">
          <cell r="I65" t="str">
            <v>52001030 งง.บชญ.</v>
          </cell>
          <cell r="K65" t="str">
            <v>10010416 ขบ.บชญ.</v>
          </cell>
        </row>
        <row r="66">
          <cell r="I66" t="str">
            <v>52001040 บม.ฝชญ.</v>
          </cell>
          <cell r="K66" t="str">
            <v>10010417 บบ.บชญ.</v>
          </cell>
        </row>
        <row r="67">
          <cell r="I67" t="str">
            <v>52001050 ขบ.บชญ.</v>
          </cell>
          <cell r="K67" t="str">
            <v>10010418 งบ.ผงญ.</v>
          </cell>
        </row>
        <row r="68">
          <cell r="I68" t="str">
            <v>52001060 บบ.บชญ.</v>
          </cell>
          <cell r="K68" t="str">
            <v>10010419 วง.บสญ.</v>
          </cell>
        </row>
        <row r="69">
          <cell r="I69" t="str">
            <v>52002000 ปภญ.</v>
          </cell>
          <cell r="K69" t="str">
            <v>10010420 บงญ.</v>
          </cell>
        </row>
        <row r="70">
          <cell r="I70" t="str">
            <v>52010000 ผงญ.</v>
          </cell>
          <cell r="K70" t="str">
            <v>10010421 จง.บงญ.</v>
          </cell>
        </row>
        <row r="71">
          <cell r="I71" t="str">
            <v>52010010 งบ.ผงญ.2</v>
          </cell>
          <cell r="K71" t="str">
            <v>10010422 งน.บงญ.</v>
          </cell>
        </row>
        <row r="72">
          <cell r="I72" t="str">
            <v>52011000 งอญ.</v>
          </cell>
          <cell r="K72" t="str">
            <v>10010423 งต.บงญ.</v>
          </cell>
        </row>
        <row r="73">
          <cell r="I73" t="str">
            <v>52011010 งก.งอญ.</v>
          </cell>
          <cell r="K73" t="str">
            <v>10010424 ตท.รงญ.</v>
          </cell>
        </row>
        <row r="74">
          <cell r="I74" t="str">
            <v>52011020 ตท.งอญ.</v>
          </cell>
          <cell r="K74" t="str">
            <v>10010501 รบญ.</v>
          </cell>
        </row>
        <row r="75">
          <cell r="I75" t="str">
            <v>52011030 ผง.งอญ.</v>
          </cell>
          <cell r="K75" t="str">
            <v>10010502 ภปญ.</v>
          </cell>
        </row>
        <row r="76">
          <cell r="I76" t="str">
            <v>52011040 งบ.ผงญ.</v>
          </cell>
          <cell r="K76" t="str">
            <v>10010503 นค.ภปญ.</v>
          </cell>
        </row>
        <row r="77">
          <cell r="I77" t="str">
            <v>52012000 บสญ.</v>
          </cell>
          <cell r="K77" t="str">
            <v>10010504 บค.ภปญ.</v>
          </cell>
        </row>
        <row r="78">
          <cell r="I78" t="str">
            <v>52012010 สง.บสญ.</v>
          </cell>
          <cell r="K78" t="str">
            <v>10010505 บนญ.</v>
          </cell>
        </row>
        <row r="79">
          <cell r="I79" t="str">
            <v>52012020 หส.ฝงญ.</v>
          </cell>
          <cell r="K79" t="str">
            <v>10010506 ผ.บก. บนญ.</v>
          </cell>
        </row>
        <row r="80">
          <cell r="I80" t="str">
            <v>52012030 วง.บสญ.</v>
          </cell>
          <cell r="K80" t="str">
            <v>10010507 ผ.บด. บนญ.</v>
          </cell>
        </row>
        <row r="81">
          <cell r="I81" t="str">
            <v>52013000 บงญ.</v>
          </cell>
          <cell r="K81" t="str">
            <v>10010508 อค.บนญ.</v>
          </cell>
        </row>
        <row r="82">
          <cell r="I82" t="str">
            <v>52013010 สพ.บงญ.</v>
          </cell>
          <cell r="K82" t="str">
            <v>10010509 จพ.บนญ.</v>
          </cell>
        </row>
        <row r="83">
          <cell r="I83" t="str">
            <v>52013020 งน.บงญ.</v>
          </cell>
          <cell r="K83" t="str">
            <v>10010510 ผบญ.</v>
          </cell>
        </row>
        <row r="84">
          <cell r="I84" t="str">
            <v>52013030 งต.บงญ.</v>
          </cell>
          <cell r="K84" t="str">
            <v>10010511 พทญ.</v>
          </cell>
        </row>
        <row r="85">
          <cell r="I85" t="str">
            <v>53000000 รบญ.</v>
          </cell>
          <cell r="K85" t="str">
            <v>10010512 บคญ.</v>
          </cell>
        </row>
        <row r="86">
          <cell r="I86" t="str">
            <v>53001000 ภปญ.</v>
          </cell>
          <cell r="K86" t="str">
            <v>10010513 พบญ.</v>
          </cell>
        </row>
        <row r="87">
          <cell r="I87" t="str">
            <v>53001010 นค.ภปญ.</v>
          </cell>
          <cell r="K87" t="str">
            <v>10010514 สค.พบญ.</v>
          </cell>
        </row>
        <row r="88">
          <cell r="I88" t="str">
            <v>53001020 บค.ภปญ.</v>
          </cell>
          <cell r="K88" t="str">
            <v>10010515 ฝอ.พบญ.</v>
          </cell>
        </row>
        <row r="89">
          <cell r="I89" t="str">
            <v>53002000 บนญ.</v>
          </cell>
          <cell r="K89" t="str">
            <v>10010516 สก.พบญ.</v>
          </cell>
        </row>
        <row r="90">
          <cell r="I90" t="str">
            <v>53002001 ผ.บก. บนญ.</v>
          </cell>
          <cell r="K90" t="str">
            <v>10010517 กพ.พบญ.</v>
          </cell>
        </row>
        <row r="91">
          <cell r="I91" t="str">
            <v>53002002 ผ.บด. บนญ.</v>
          </cell>
          <cell r="K91" t="str">
            <v>10010518 สกญ.</v>
          </cell>
        </row>
        <row r="92">
          <cell r="I92" t="str">
            <v>53002010 อค.บนญ.</v>
          </cell>
          <cell r="K92" t="str">
            <v>10010601 รธป.</v>
          </cell>
        </row>
        <row r="93">
          <cell r="I93" t="str">
            <v>53002020 จพ.บนญ.</v>
          </cell>
          <cell r="K93" t="str">
            <v>10010602 ธป.</v>
          </cell>
        </row>
        <row r="94">
          <cell r="I94" t="str">
            <v>53010000 ผบญ.</v>
          </cell>
          <cell r="K94" t="str">
            <v>10010603 ธบ._โครงสร้างเก่า</v>
          </cell>
        </row>
        <row r="95">
          <cell r="I95" t="str">
            <v>53011000 พทญ.</v>
          </cell>
          <cell r="K95" t="str">
            <v>10010604 ฝธป._โครงสร้างเก่า</v>
          </cell>
        </row>
        <row r="96">
          <cell r="I96" t="str">
            <v>53012000 บคญ.</v>
          </cell>
          <cell r="K96" t="str">
            <v>10010605 ฝปป._โครงสร้างเก่า</v>
          </cell>
        </row>
        <row r="97">
          <cell r="I97" t="str">
            <v>53013000 พบญ.</v>
          </cell>
          <cell r="K97" t="str">
            <v>10010606 ฝกป._โครงสร้างเก่า</v>
          </cell>
        </row>
        <row r="98">
          <cell r="I98" t="str">
            <v>53013010 สค.พบญ.</v>
          </cell>
          <cell r="K98" t="str">
            <v>10010607 กป.ธกป.</v>
          </cell>
        </row>
        <row r="99">
          <cell r="I99" t="str">
            <v>53013020 ฝอ.พบญ.</v>
          </cell>
          <cell r="K99" t="str">
            <v>10010608 ผผป.</v>
          </cell>
        </row>
        <row r="100">
          <cell r="I100" t="str">
            <v>53013030 สก.พบญ.</v>
          </cell>
          <cell r="K100" t="str">
            <v>10010609 บปป.</v>
          </cell>
        </row>
        <row r="101">
          <cell r="I101" t="str">
            <v>53013040 กพ.พบญ.</v>
          </cell>
          <cell r="K101" t="str">
            <v>10010610 บกป.</v>
          </cell>
        </row>
        <row r="102">
          <cell r="I102" t="str">
            <v>53020000 สกญ.</v>
          </cell>
          <cell r="K102" t="str">
            <v>10010611 ผพป.</v>
          </cell>
        </row>
        <row r="103">
          <cell r="I103" t="str">
            <v>54000000 ธกป.</v>
          </cell>
          <cell r="K103" t="str">
            <v>10010612 สค.ผพป.</v>
          </cell>
        </row>
        <row r="104">
          <cell r="I104" t="str">
            <v>54000010 ธป.ธกป.</v>
          </cell>
          <cell r="K104" t="str">
            <v>10010613 พธป.</v>
          </cell>
        </row>
        <row r="105">
          <cell r="I105" t="str">
            <v>54000020 ธบ.ธกป.</v>
          </cell>
          <cell r="K105" t="str">
            <v>10010614 พณ.พธป.</v>
          </cell>
        </row>
        <row r="106">
          <cell r="I106" t="str">
            <v>54000030 กป.ธกป.</v>
          </cell>
          <cell r="K106" t="str">
            <v>10010615 ทค.พธป.</v>
          </cell>
        </row>
        <row r="107">
          <cell r="I107" t="str">
            <v>54001000 ฝธป.</v>
          </cell>
          <cell r="K107" t="str">
            <v>10010701 บ.ท่อส่งปิโตรเลียมฯ</v>
          </cell>
        </row>
        <row r="108">
          <cell r="I108" t="str">
            <v>54002000 ฝปป.</v>
          </cell>
          <cell r="K108" t="str">
            <v>10010702 บ.ไทยลู้บเบล็นดิ้งฯ</v>
          </cell>
        </row>
        <row r="109">
          <cell r="I109" t="str">
            <v>54003000 ฝกป.</v>
          </cell>
          <cell r="K109" t="str">
            <v>10010703 บ.ไทยลู้บเบส จำกัด</v>
          </cell>
        </row>
        <row r="110">
          <cell r="I110" t="str">
            <v>54010000 ผผป.</v>
          </cell>
          <cell r="K110" t="str">
            <v>10010704 บ.ตลิ่งชันแมนเนจฯ</v>
          </cell>
        </row>
        <row r="111">
          <cell r="I111" t="str">
            <v>54011000 บปป.</v>
          </cell>
          <cell r="K111" t="str">
            <v>10010705 บ.ปตท.สผ. จำกัด</v>
          </cell>
        </row>
        <row r="112">
          <cell r="I112" t="str">
            <v>54012000 บกป.</v>
          </cell>
          <cell r="K112" t="str">
            <v>10010706 บ.ปตท.จำหน่ายก๊าซฯ</v>
          </cell>
        </row>
        <row r="113">
          <cell r="I113" t="str">
            <v>54020000 ผพป.</v>
          </cell>
          <cell r="K113" t="str">
            <v>10010707 บ.TTM (ประเทศไทย)</v>
          </cell>
        </row>
        <row r="114">
          <cell r="I114" t="str">
            <v>54020010 สค.ผพป.</v>
          </cell>
          <cell r="K114" t="str">
            <v>10010708 บ.อะโรเมติกส์ฯ</v>
          </cell>
        </row>
        <row r="115">
          <cell r="I115" t="str">
            <v>54021000 พธป.</v>
          </cell>
          <cell r="K115" t="str">
            <v>10010709 บ.ไทยโอเลฟินส์ จำกัด</v>
          </cell>
        </row>
        <row r="116">
          <cell r="I116" t="str">
            <v>54021010 พณ.พธป.</v>
          </cell>
          <cell r="K116" t="str">
            <v>10010710 บ.ปิโตรเคมีแห่งชาติฯ</v>
          </cell>
        </row>
        <row r="117">
          <cell r="I117" t="str">
            <v>54021020 ทค.พธป.</v>
          </cell>
          <cell r="K117" t="str">
            <v>10010711 บ.อัลลายแอนซ์รีไฟน์ฯ</v>
          </cell>
        </row>
        <row r="118">
          <cell r="I118" t="str">
            <v>59000000 บ.ในเครือ</v>
          </cell>
          <cell r="K118" t="str">
            <v>10010712 บ.ผลิตไฟฟ้า&amp;น้ำเย็น</v>
          </cell>
        </row>
        <row r="119">
          <cell r="I119" t="str">
            <v>59100000 OIL</v>
          </cell>
          <cell r="K119" t="str">
            <v>10010713 บ.พีทีที-ฟีนอล จำกัด</v>
          </cell>
        </row>
        <row r="120">
          <cell r="I120" t="str">
            <v>59100010 TOCL</v>
          </cell>
          <cell r="K120" t="str">
            <v>10010714 บ.พีทีทีโพลีเอททิลีน</v>
          </cell>
        </row>
        <row r="121">
          <cell r="I121" t="str">
            <v>59100020 BAFS</v>
          </cell>
          <cell r="K121" t="str">
            <v>10010717 บ.พีทีทียูทิลิตี้</v>
          </cell>
        </row>
        <row r="122">
          <cell r="I122" t="str">
            <v>59100030 PTT MART</v>
          </cell>
          <cell r="K122" t="str">
            <v>10010719 บ.เอนเนอร์ยีคอมเพล็ก</v>
          </cell>
        </row>
        <row r="123">
          <cell r="I123" t="str">
            <v>59100040 THAPPLINE</v>
          </cell>
          <cell r="K123" t="str">
            <v>10019001 สนญ.</v>
          </cell>
        </row>
        <row r="124">
          <cell r="I124" t="str">
            <v>59100050 FPT</v>
          </cell>
          <cell r="K124" t="str">
            <v>10019002 คปก.</v>
          </cell>
        </row>
        <row r="125">
          <cell r="I125" t="str">
            <v>59100060 IPS</v>
          </cell>
          <cell r="K125" t="str">
            <v>10019003 ปพญ.</v>
          </cell>
        </row>
        <row r="126">
          <cell r="I126" t="str">
            <v>59100070 THAI LUBE</v>
          </cell>
          <cell r="K126" t="str">
            <v>10019004 ผพ.ปพญ.</v>
          </cell>
        </row>
        <row r="127">
          <cell r="I127" t="str">
            <v>59100080 PA THAI</v>
          </cell>
          <cell r="K127" t="str">
            <v>10019005 บพ.ปพญ.</v>
          </cell>
        </row>
        <row r="128">
          <cell r="I128" t="str">
            <v>59100090 PA CHAINA</v>
          </cell>
          <cell r="K128" t="str">
            <v>10019006 มพ.ปพญ.</v>
          </cell>
        </row>
        <row r="129">
          <cell r="I129" t="str">
            <v>59100100 VLPG</v>
          </cell>
          <cell r="K129" t="str">
            <v>10019007 สท.ปพญ.</v>
          </cell>
        </row>
        <row r="130">
          <cell r="I130" t="str">
            <v>59100110 PA MAOMING</v>
          </cell>
          <cell r="K130" t="str">
            <v>10019008 สผญ.</v>
          </cell>
        </row>
        <row r="131">
          <cell r="I131" t="str">
            <v>59100120 PA SANSHUI</v>
          </cell>
          <cell r="K131" t="str">
            <v>10019009 สตญ.</v>
          </cell>
        </row>
        <row r="132">
          <cell r="I132" t="str">
            <v>59100130 PA JILONG</v>
          </cell>
          <cell r="K132" t="str">
            <v>10100101 ผจก.</v>
          </cell>
        </row>
        <row r="133">
          <cell r="I133" t="str">
            <v>59100140 PA HAIBIN</v>
          </cell>
          <cell r="K133" t="str">
            <v>10100104 กส.ผจก.</v>
          </cell>
        </row>
        <row r="134">
          <cell r="I134" t="str">
            <v>59100150 PA KAIPING</v>
          </cell>
          <cell r="K134" t="str">
            <v>10100201 จหก.</v>
          </cell>
        </row>
        <row r="135">
          <cell r="I135" t="str">
            <v>59100160 PA SHANTOU</v>
          </cell>
          <cell r="K135" t="str">
            <v>10100202 บจ.จหก.</v>
          </cell>
        </row>
        <row r="136">
          <cell r="I136" t="str">
            <v>59100170 PA HUIZHOU</v>
          </cell>
          <cell r="K136" t="str">
            <v>10100203 บต.จหก.</v>
          </cell>
        </row>
        <row r="137">
          <cell r="I137" t="str">
            <v>59100180 SBECL</v>
          </cell>
          <cell r="K137" t="str">
            <v>10100301 ตสก.</v>
          </cell>
        </row>
        <row r="138">
          <cell r="I138" t="str">
            <v>59100190 SBFCI</v>
          </cell>
          <cell r="K138" t="str">
            <v>10100302 ตธ.ตสก.</v>
          </cell>
        </row>
        <row r="139">
          <cell r="I139" t="str">
            <v>59100200 SBDI</v>
          </cell>
          <cell r="K139" t="str">
            <v>10100303 บห.ตสก.</v>
          </cell>
        </row>
        <row r="140">
          <cell r="I140" t="str">
            <v>59100210 CPDC</v>
          </cell>
          <cell r="K140" t="str">
            <v>10109001 รธก.</v>
          </cell>
        </row>
        <row r="141">
          <cell r="I141" t="str">
            <v>59100220 PTTPI</v>
          </cell>
          <cell r="K141" t="str">
            <v>10109002 ธก.</v>
          </cell>
        </row>
        <row r="142">
          <cell r="I142" t="str">
            <v>59100230 KELOIL</v>
          </cell>
          <cell r="K142" t="str">
            <v>10109003 ชพ.รธก.</v>
          </cell>
        </row>
        <row r="143">
          <cell r="I143" t="str">
            <v>59100240 THAILUBEBASE</v>
          </cell>
          <cell r="K143" t="str">
            <v>10109004 คอ.รธก.</v>
          </cell>
        </row>
        <row r="144">
          <cell r="I144" t="str">
            <v>59100250 RBA</v>
          </cell>
          <cell r="K144" t="str">
            <v>10109101 บชก.</v>
          </cell>
        </row>
        <row r="145">
          <cell r="I145" t="str">
            <v>59200000 GAS</v>
          </cell>
          <cell r="K145" t="str">
            <v>10109102 งส.ฝชก.</v>
          </cell>
        </row>
        <row r="146">
          <cell r="I146" t="str">
            <v>59200010 PTTEP</v>
          </cell>
          <cell r="K146" t="str">
            <v>10109103 บช.บชก.</v>
          </cell>
        </row>
        <row r="147">
          <cell r="I147" t="str">
            <v>59200020 TLNG</v>
          </cell>
          <cell r="K147" t="str">
            <v>10109104 บห.บชก.</v>
          </cell>
        </row>
        <row r="148">
          <cell r="I148" t="str">
            <v>59200030 PTTNGD</v>
          </cell>
          <cell r="K148" t="str">
            <v>10109201 บคก.</v>
          </cell>
        </row>
        <row r="149">
          <cell r="I149" t="str">
            <v>59200040 TTM-Thai</v>
          </cell>
          <cell r="K149" t="str">
            <v>10109301 ผผก.</v>
          </cell>
        </row>
        <row r="150">
          <cell r="I150" t="str">
            <v>59200050 TTM-Malaysia</v>
          </cell>
          <cell r="K150" t="str">
            <v>10109302 วผก.</v>
          </cell>
        </row>
        <row r="151">
          <cell r="I151" t="str">
            <v>59200060 บ.ผลิตไฟฟ้า</v>
          </cell>
          <cell r="K151" t="str">
            <v>10109303 พธก.</v>
          </cell>
        </row>
        <row r="152">
          <cell r="I152" t="str">
            <v>59200070 PTTUT</v>
          </cell>
          <cell r="K152" t="str">
            <v>10109304 บษก.</v>
          </cell>
        </row>
        <row r="153">
          <cell r="I153" t="str">
            <v>59300000 PETRO</v>
          </cell>
          <cell r="K153" t="str">
            <v>10109451 ผคก.</v>
          </cell>
        </row>
        <row r="154">
          <cell r="I154" t="str">
            <v>59300010 ATC</v>
          </cell>
          <cell r="K154" t="str">
            <v>10109452 สคก.</v>
          </cell>
        </row>
        <row r="155">
          <cell r="I155" t="str">
            <v>59300020 TOC</v>
          </cell>
          <cell r="K155" t="str">
            <v>10109453 กด.สคก.</v>
          </cell>
        </row>
        <row r="156">
          <cell r="I156" t="str">
            <v>59300030 NPC</v>
          </cell>
          <cell r="K156" t="str">
            <v>10109454 วล.สคก.</v>
          </cell>
        </row>
        <row r="157">
          <cell r="I157" t="str">
            <v>59300040 NFC</v>
          </cell>
          <cell r="K157" t="str">
            <v>10109455 มส.สคก.</v>
          </cell>
        </row>
        <row r="158">
          <cell r="I158" t="str">
            <v>59300050 TPX</v>
          </cell>
          <cell r="K158" t="str">
            <v>10200101 ยรก.</v>
          </cell>
        </row>
        <row r="159">
          <cell r="I159" t="str">
            <v>59300060 BCP</v>
          </cell>
          <cell r="K159" t="str">
            <v>10200102 ปผ.ยรก.</v>
          </cell>
        </row>
        <row r="160">
          <cell r="I160" t="str">
            <v>59300070 RRC</v>
          </cell>
          <cell r="K160" t="str">
            <v>10200103 วผ.ยรก.</v>
          </cell>
        </row>
        <row r="161">
          <cell r="I161" t="str">
            <v>59300080 SPRC</v>
          </cell>
          <cell r="K161" t="str">
            <v>10200104 คภ.ยรก.</v>
          </cell>
        </row>
        <row r="162">
          <cell r="I162" t="str">
            <v>59300090 ARC</v>
          </cell>
          <cell r="K162" t="str">
            <v>10200105 วจ.ยรก.</v>
          </cell>
        </row>
        <row r="163">
          <cell r="I163" t="str">
            <v>59300100 PPCL</v>
          </cell>
          <cell r="K163" t="str">
            <v>10200201 วบก.</v>
          </cell>
        </row>
        <row r="164">
          <cell r="I164" t="str">
            <v>59300110 PTTPE</v>
          </cell>
          <cell r="K164" t="str">
            <v>10200202 วก.วบก.</v>
          </cell>
        </row>
        <row r="165">
          <cell r="I165" t="str">
            <v>59400000 SUPPORT</v>
          </cell>
          <cell r="K165" t="str">
            <v>10200203 พย.วบก.</v>
          </cell>
        </row>
        <row r="166">
          <cell r="I166" t="str">
            <v>59400010 TIP</v>
          </cell>
          <cell r="K166" t="str">
            <v>10200204 บร.วบก.</v>
          </cell>
        </row>
        <row r="167">
          <cell r="I167" t="str">
            <v>59400020 ENCO</v>
          </cell>
          <cell r="K167" t="str">
            <v>10200205 บฟ.วบก.</v>
          </cell>
        </row>
        <row r="168">
          <cell r="I168" t="str">
            <v>59999999 หน่วยรับโอน</v>
          </cell>
          <cell r="K168" t="str">
            <v>10200206 รร.วบก.</v>
          </cell>
        </row>
        <row r="169">
          <cell r="I169" t="str">
            <v>60000000 รผน.</v>
          </cell>
          <cell r="K169" t="str">
            <v>10200207 อท.วบก.</v>
          </cell>
        </row>
        <row r="170">
          <cell r="I170" t="str">
            <v>61000000 ธกน.</v>
          </cell>
          <cell r="K170" t="str">
            <v>10200208 ผ.อย.อท.วบก.</v>
          </cell>
        </row>
        <row r="171">
          <cell r="I171" t="str">
            <v>61000010 ธน.</v>
          </cell>
          <cell r="K171" t="str">
            <v>10200209 ผ.อข.อท.วบก.</v>
          </cell>
        </row>
        <row r="172">
          <cell r="I172" t="str">
            <v>61000020 ปพ.ธกน.</v>
          </cell>
          <cell r="K172" t="str">
            <v>10200281 หน่วยซ่อม_Inspector</v>
          </cell>
        </row>
        <row r="173">
          <cell r="I173" t="str">
            <v>61000030 คช.ธกน.</v>
          </cell>
          <cell r="K173" t="str">
            <v>10200301 จผก.</v>
          </cell>
        </row>
        <row r="174">
          <cell r="I174" t="str">
            <v>61001000 บษน.</v>
          </cell>
          <cell r="K174" t="str">
            <v>10200302 จจ.จผก.</v>
          </cell>
        </row>
        <row r="175">
          <cell r="I175" t="str">
            <v>61002000 บคน.</v>
          </cell>
          <cell r="K175" t="str">
            <v>10200303 ลภ.จผก.</v>
          </cell>
        </row>
        <row r="176">
          <cell r="I176" t="str">
            <v>61004000 ตลน.</v>
          </cell>
          <cell r="K176" t="str">
            <v>10200304 ทผ.จผก.</v>
          </cell>
        </row>
        <row r="177">
          <cell r="I177" t="str">
            <v>61004010 ตล.ตลน.</v>
          </cell>
          <cell r="K177" t="str">
            <v>10200751 คยก.5</v>
          </cell>
        </row>
        <row r="178">
          <cell r="I178" t="str">
            <v>61004020 ทล.ตลน.</v>
          </cell>
          <cell r="K178" t="str">
            <v>10209001 ผยก.</v>
          </cell>
        </row>
        <row r="179">
          <cell r="I179" t="str">
            <v>61004030 นล.ตลน.</v>
          </cell>
          <cell r="K179" t="str">
            <v>10209002 บง.ผยก.</v>
          </cell>
        </row>
        <row r="180">
          <cell r="I180" t="str">
            <v>61010000 ผผน.</v>
          </cell>
          <cell r="K180" t="str">
            <v>10209003 ปภ.ผยก.</v>
          </cell>
        </row>
        <row r="181">
          <cell r="I181" t="str">
            <v>61011000 วผน.</v>
          </cell>
          <cell r="K181" t="str">
            <v>10250481 ผ.คท.วบ.ยขก.</v>
          </cell>
        </row>
        <row r="182">
          <cell r="I182" t="str">
            <v>61012000 พธน.</v>
          </cell>
          <cell r="K182" t="str">
            <v>10250482 ผ.ฟค.วบ.ยขก.</v>
          </cell>
        </row>
        <row r="183">
          <cell r="I183" t="str">
            <v>61020000 ผชน.</v>
          </cell>
          <cell r="K183" t="str">
            <v>10259001 ยขก.</v>
          </cell>
        </row>
        <row r="184">
          <cell r="I184" t="str">
            <v>61020300 กง.ผชน.</v>
          </cell>
          <cell r="K184" t="str">
            <v>10259002 ปข.ยขก.</v>
          </cell>
        </row>
        <row r="185">
          <cell r="I185" t="str">
            <v>61020310 งน.กง.ผชน.</v>
          </cell>
          <cell r="K185" t="str">
            <v>10259003 วบ.ยขก.</v>
          </cell>
        </row>
        <row r="186">
          <cell r="I186" t="str">
            <v>61020320 งต.กง.ผชน.</v>
          </cell>
          <cell r="K186" t="str">
            <v>10259003 วบ.ยขก.</v>
          </cell>
        </row>
        <row r="187">
          <cell r="I187" t="str">
            <v>61021000 บชน.</v>
          </cell>
          <cell r="K187" t="str">
            <v>10300101 ทจก.</v>
          </cell>
        </row>
        <row r="188">
          <cell r="I188" t="str">
            <v>61021010 ชข.บชน.</v>
          </cell>
          <cell r="K188" t="str">
            <v>10300102 ตข.ทจก.</v>
          </cell>
        </row>
        <row r="189">
          <cell r="I189" t="str">
            <v>61021020 ชธ.ฝชน.</v>
          </cell>
          <cell r="K189" t="str">
            <v>10300103 บซ.ทจก.</v>
          </cell>
        </row>
        <row r="190">
          <cell r="I190" t="str">
            <v>61021030 บล.บชน.</v>
          </cell>
          <cell r="K190" t="str">
            <v>10300104 วค.ทจก.</v>
          </cell>
        </row>
        <row r="191">
          <cell r="I191" t="str">
            <v>61021040 บจ.บชน.</v>
          </cell>
          <cell r="K191" t="str">
            <v>10300201 ตยก.</v>
          </cell>
        </row>
        <row r="192">
          <cell r="I192" t="str">
            <v>61021050 บห.บชน.</v>
          </cell>
          <cell r="K192" t="str">
            <v>10300202 ตพ.ตยก.</v>
          </cell>
        </row>
        <row r="193">
          <cell r="I193" t="str">
            <v>61021060 ภท.บชน.</v>
          </cell>
          <cell r="K193" t="str">
            <v>10300203 ทซ.ตยก.</v>
          </cell>
        </row>
        <row r="194">
          <cell r="I194" t="str">
            <v>61022000 สชน.</v>
          </cell>
          <cell r="K194" t="str">
            <v>10300204 บถ.ตยก.</v>
          </cell>
        </row>
        <row r="195">
          <cell r="I195" t="str">
            <v>61022010 ชป.สชน.</v>
          </cell>
          <cell r="K195" t="str">
            <v>10300551 คกย._โครงสร้างเก่า</v>
          </cell>
        </row>
        <row r="196">
          <cell r="I196" t="str">
            <v>61022020 สภ.ฝสน.</v>
          </cell>
          <cell r="K196" t="str">
            <v>10400101 ปทก.</v>
          </cell>
        </row>
        <row r="197">
          <cell r="I197" t="str">
            <v>61022030 ชพ.สชน.</v>
          </cell>
          <cell r="K197" t="str">
            <v>10400102 ปล.ปทก.</v>
          </cell>
        </row>
        <row r="198">
          <cell r="I198" t="str">
            <v>61022040 บส.สชน.</v>
          </cell>
          <cell r="K198" t="str">
            <v>10400103 ปท.1 ปทก.</v>
          </cell>
        </row>
        <row r="199">
          <cell r="I199" t="str">
            <v>61022050 ชต.สชน.</v>
          </cell>
          <cell r="K199" t="str">
            <v>10400104 ปท.2 ปทก.</v>
          </cell>
        </row>
        <row r="200">
          <cell r="I200" t="str">
            <v>61030000 ผตน.</v>
          </cell>
          <cell r="K200" t="str">
            <v>10400105 ปท.3 ปทก.</v>
          </cell>
        </row>
        <row r="201">
          <cell r="I201" t="str">
            <v>61030010 ศส.ผตน.</v>
          </cell>
          <cell r="K201" t="str">
            <v>10400106 ปท.5 ปทก.</v>
          </cell>
        </row>
        <row r="202">
          <cell r="I202" t="str">
            <v>61031000 ตปน.</v>
          </cell>
          <cell r="K202" t="str">
            <v>10400201 ปท.4 ปทก.</v>
          </cell>
        </row>
        <row r="203">
          <cell r="I203" t="str">
            <v>61031010 กต.ตปน.</v>
          </cell>
          <cell r="K203" t="str">
            <v>10400353 คทพ.</v>
          </cell>
        </row>
        <row r="204">
          <cell r="I204" t="str">
            <v>61031020 ฆส.ตปน.</v>
          </cell>
          <cell r="K204" t="str">
            <v>10400354 คกจ.</v>
          </cell>
        </row>
        <row r="205">
          <cell r="I205" t="str">
            <v>61031030 พถ.ตปน.</v>
          </cell>
          <cell r="K205" t="str">
            <v>10400355 คกร.</v>
          </cell>
        </row>
        <row r="206">
          <cell r="I206" t="str">
            <v>61032000 บสน.</v>
          </cell>
          <cell r="K206" t="str">
            <v>10400356 คนต.</v>
          </cell>
        </row>
        <row r="207">
          <cell r="I207" t="str">
            <v>61032010 ขป.บสน.</v>
          </cell>
          <cell r="K207" t="str">
            <v>10400357 คกข.</v>
          </cell>
        </row>
        <row r="208">
          <cell r="I208" t="str">
            <v>61032020 ขล.บสน.</v>
          </cell>
          <cell r="K208" t="str">
            <v>10400358 คทก.3</v>
          </cell>
        </row>
        <row r="209">
          <cell r="I209" t="str">
            <v>61032030 ขก.บสน.</v>
          </cell>
          <cell r="K209" t="str">
            <v>10400360 คก.ท่อวังน้อยแก่งคอย</v>
          </cell>
        </row>
        <row r="210">
          <cell r="I210" t="str">
            <v>61032040 ขน.บสน.</v>
          </cell>
          <cell r="K210" t="str">
            <v>10400361 คก.ติดตั้งCompressor</v>
          </cell>
        </row>
        <row r="211">
          <cell r="I211" t="str">
            <v>61032050 ขฉ.บสน.</v>
          </cell>
          <cell r="K211" t="str">
            <v>10409001 ผทก.</v>
          </cell>
        </row>
        <row r="212">
          <cell r="I212" t="str">
            <v>61032060 ขต.บสน.</v>
          </cell>
          <cell r="K212" t="str">
            <v>10409002 บล.ผทก.</v>
          </cell>
        </row>
        <row r="213">
          <cell r="I213" t="str">
            <v>61032070 ขม.บสน.</v>
          </cell>
          <cell r="K213" t="str">
            <v>10409003 ปว.ผทก.</v>
          </cell>
        </row>
        <row r="214">
          <cell r="I214" t="str">
            <v>61034000 วตน.</v>
          </cell>
          <cell r="K214" t="str">
            <v>10409004 บท.ผทก.</v>
          </cell>
        </row>
        <row r="215">
          <cell r="I215" t="str">
            <v>61034010 วอ.วตน.</v>
          </cell>
          <cell r="K215" t="str">
            <v>10409005 คป.บทก.</v>
          </cell>
        </row>
        <row r="216">
          <cell r="I216" t="str">
            <v>61034020 จซ.วตน.</v>
          </cell>
          <cell r="K216" t="str">
            <v>10409006 คซ.บทก.</v>
          </cell>
        </row>
        <row r="217">
          <cell r="I217" t="str">
            <v>61035000 พสน.</v>
          </cell>
          <cell r="K217" t="str">
            <v>10409007 จบ.บทก.</v>
          </cell>
        </row>
        <row r="218">
          <cell r="I218" t="str">
            <v>61035010 พซ.พสน.</v>
          </cell>
          <cell r="K218" t="str">
            <v>10409008 บทก.</v>
          </cell>
        </row>
        <row r="219">
          <cell r="I219" t="str">
            <v>61035020 พร.พสน.</v>
          </cell>
          <cell r="K219" t="str">
            <v>10409101 วท.บทก.</v>
          </cell>
        </row>
        <row r="220">
          <cell r="I220" t="str">
            <v>61035030 บน.พสน.</v>
          </cell>
          <cell r="K220" t="str">
            <v>10409101 วท.บทก.</v>
          </cell>
        </row>
        <row r="221">
          <cell r="I221" t="str">
            <v>61040000 ผพน.</v>
          </cell>
          <cell r="K221" t="str">
            <v>10500001 ผตน.</v>
          </cell>
        </row>
        <row r="222">
          <cell r="I222" t="str">
            <v>61041000 ตหน.</v>
          </cell>
          <cell r="K222" t="str">
            <v>10500002 ศส.ผตน.</v>
          </cell>
        </row>
        <row r="223">
          <cell r="I223" t="str">
            <v>61041010 กห.ตหน.</v>
          </cell>
          <cell r="K223" t="str">
            <v>10500101 ตปน.</v>
          </cell>
        </row>
        <row r="224">
          <cell r="I224" t="str">
            <v>61041020 ขส.ตหน.</v>
          </cell>
          <cell r="K224" t="str">
            <v>10500102 กต.ตปน.</v>
          </cell>
        </row>
        <row r="225">
          <cell r="I225" t="str">
            <v>61041030 ขภ.ตหน.</v>
          </cell>
          <cell r="K225" t="str">
            <v>10500103 ฆส.ตปน.</v>
          </cell>
        </row>
        <row r="226">
          <cell r="I226" t="str">
            <v>61042000 ตรน.</v>
          </cell>
          <cell r="K226" t="str">
            <v>10500104 พถ.ตปน.</v>
          </cell>
        </row>
        <row r="227">
          <cell r="I227" t="str">
            <v>61042010 ขอ.ตรน.</v>
          </cell>
          <cell r="K227" t="str">
            <v>10500201 บสน.</v>
          </cell>
        </row>
        <row r="228">
          <cell r="I228" t="str">
            <v>61042020 ขร.ตรน.</v>
          </cell>
          <cell r="K228" t="str">
            <v>10500202 ขป.บสน.</v>
          </cell>
        </row>
        <row r="229">
          <cell r="I229" t="str">
            <v>61042030 บณ.ตรน.</v>
          </cell>
          <cell r="K229" t="str">
            <v>10500203 ขล.บสน.</v>
          </cell>
        </row>
        <row r="230">
          <cell r="I230" t="str">
            <v>61042040 ขพ.ตรน.</v>
          </cell>
          <cell r="K230" t="str">
            <v>10500204 ขก.บสน.</v>
          </cell>
        </row>
        <row r="231">
          <cell r="I231" t="str">
            <v>61043000 ตอน.</v>
          </cell>
          <cell r="K231" t="str">
            <v>10500205 ขน.บสน.</v>
          </cell>
        </row>
        <row r="232">
          <cell r="I232" t="str">
            <v>61043010 ทร.ฝขน.</v>
          </cell>
          <cell r="K232" t="str">
            <v>10500206 ขฉ.บสน.</v>
          </cell>
        </row>
        <row r="233">
          <cell r="I233" t="str">
            <v>61043020 ขย.ตอน.</v>
          </cell>
          <cell r="K233" t="str">
            <v>10500207 ขต.บสน.</v>
          </cell>
        </row>
        <row r="234">
          <cell r="I234" t="str">
            <v>61043030 พต.ตอน.</v>
          </cell>
          <cell r="K234" t="str">
            <v>10500208 ขม.บสน.</v>
          </cell>
        </row>
        <row r="235">
          <cell r="I235" t="str">
            <v>61044000 ตตน.</v>
          </cell>
          <cell r="K235" t="str">
            <v>10500301 วตน.</v>
          </cell>
        </row>
        <row r="236">
          <cell r="I236" t="str">
            <v>61050000 ผทน.</v>
          </cell>
          <cell r="K236" t="str">
            <v>10500302 วอ.วตน.</v>
          </cell>
        </row>
        <row r="237">
          <cell r="I237" t="str">
            <v>61051000 ฝทน.</v>
          </cell>
          <cell r="K237" t="str">
            <v>10500303 จซ.วตน.</v>
          </cell>
        </row>
        <row r="238">
          <cell r="I238" t="str">
            <v>61051010 สง.สจ.ฝทน.</v>
          </cell>
          <cell r="K238" t="str">
            <v>10500401 พสน.</v>
          </cell>
        </row>
        <row r="239">
          <cell r="I239" t="str">
            <v>61052000 ฝรน.</v>
          </cell>
          <cell r="K239" t="str">
            <v>10500402 พซ.พสน.</v>
          </cell>
        </row>
        <row r="240">
          <cell r="I240" t="str">
            <v>61052010 สง.สล.ฝรน.</v>
          </cell>
          <cell r="K240" t="str">
            <v>10500403 พร.พสน.</v>
          </cell>
        </row>
        <row r="241">
          <cell r="I241" t="str">
            <v>61052020 สง.กช.ฝรน.</v>
          </cell>
          <cell r="K241" t="str">
            <v>10500501 บน.ฝพน.</v>
          </cell>
        </row>
        <row r="242">
          <cell r="I242" t="str">
            <v>61052030 สง.สว.ฝรน.</v>
          </cell>
          <cell r="K242" t="str">
            <v>10501001 ผพน.</v>
          </cell>
        </row>
        <row r="243">
          <cell r="I243" t="str">
            <v>61060000 ผปน.</v>
          </cell>
          <cell r="K243" t="str">
            <v>10501101 ตหน.</v>
          </cell>
        </row>
        <row r="244">
          <cell r="I244" t="str">
            <v>61060010 คป.ผปน.</v>
          </cell>
          <cell r="K244" t="str">
            <v>10501102 กห.ตหน.</v>
          </cell>
        </row>
        <row r="245">
          <cell r="I245" t="str">
            <v>61060020 จข.ผปน.</v>
          </cell>
          <cell r="K245" t="str">
            <v>10501103 ขส.ตหน.</v>
          </cell>
        </row>
        <row r="246">
          <cell r="I246" t="str">
            <v>61061000 นดน.</v>
          </cell>
          <cell r="K246" t="str">
            <v>10501104 ขภ.ตหน.</v>
          </cell>
        </row>
        <row r="247">
          <cell r="I247" t="str">
            <v>61062000 นสน.</v>
          </cell>
          <cell r="K247" t="str">
            <v>10501201 ตรน.</v>
          </cell>
        </row>
        <row r="248">
          <cell r="I248" t="str">
            <v>61063000 วสน.</v>
          </cell>
          <cell r="K248" t="str">
            <v>10501202 ขอ.ตรน.</v>
          </cell>
        </row>
        <row r="249">
          <cell r="I249" t="str">
            <v>61063010 คส.วสน.</v>
          </cell>
          <cell r="K249" t="str">
            <v>10501203 ขร.ตรน.</v>
          </cell>
        </row>
        <row r="250">
          <cell r="I250" t="str">
            <v>61063020 ตต.วสน.</v>
          </cell>
          <cell r="K250" t="str">
            <v>10501204 บณ.ตรน.</v>
          </cell>
        </row>
        <row r="251">
          <cell r="I251" t="str">
            <v>61070000 ผจน.</v>
          </cell>
          <cell r="K251" t="str">
            <v>10501205 ขพ.ตรน.</v>
          </cell>
        </row>
        <row r="252">
          <cell r="I252" t="str">
            <v>61070001 ผ.ตร.</v>
          </cell>
          <cell r="K252" t="str">
            <v>10501301 ตอน.</v>
          </cell>
        </row>
        <row r="253">
          <cell r="I253" t="str">
            <v>61071000 จหน.</v>
          </cell>
          <cell r="K253" t="str">
            <v>10501302 ทร.ตอน.</v>
          </cell>
        </row>
        <row r="254">
          <cell r="I254" t="str">
            <v>61071010 ผห.จหน.</v>
          </cell>
          <cell r="K254" t="str">
            <v>10501303 ขย.ตอน.</v>
          </cell>
        </row>
        <row r="255">
          <cell r="I255" t="str">
            <v>61071020 ผส.จหน.</v>
          </cell>
          <cell r="K255" t="str">
            <v>10501304 พต.ตอน.</v>
          </cell>
        </row>
        <row r="256">
          <cell r="I256" t="str">
            <v>61072000 ปจน.</v>
          </cell>
          <cell r="K256" t="str">
            <v>10501401 ตตน.</v>
          </cell>
        </row>
        <row r="257">
          <cell r="I257" t="str">
            <v>61072010 จด.ฝจน.</v>
          </cell>
          <cell r="K257" t="str">
            <v>10503001 ผจน.</v>
          </cell>
        </row>
        <row r="258">
          <cell r="I258" t="str">
            <v>61072020 ปห.ปจน.</v>
          </cell>
          <cell r="K258" t="str">
            <v>10503002 ผ.ตร.ผจน.</v>
          </cell>
        </row>
        <row r="259">
          <cell r="I259" t="str">
            <v>61072030 ขง.ปจน.</v>
          </cell>
          <cell r="K259" t="str">
            <v>10503101 จหน.</v>
          </cell>
        </row>
        <row r="260">
          <cell r="I260" t="str">
            <v>61072040 พอ.ปจน.</v>
          </cell>
          <cell r="K260" t="str">
            <v>10503102 ผห.จหน.</v>
          </cell>
        </row>
        <row r="261">
          <cell r="I261" t="str">
            <v>61073000 ขปน.</v>
          </cell>
          <cell r="K261" t="str">
            <v>10503103 ผส.จหน.</v>
          </cell>
        </row>
        <row r="262">
          <cell r="I262" t="str">
            <v>61073001 ผ.ปร.ขปน.</v>
          </cell>
          <cell r="K262" t="str">
            <v>10503201 ปจน.</v>
          </cell>
        </row>
        <row r="263">
          <cell r="I263" t="str">
            <v>61073010 รข.ขปน.</v>
          </cell>
          <cell r="K263" t="str">
            <v>10503203 ปห.ปจน.</v>
          </cell>
        </row>
        <row r="264">
          <cell r="I264" t="str">
            <v>61073020 ปง.ขปน.</v>
          </cell>
          <cell r="K264" t="str">
            <v>10503204 ขง.ปจน.</v>
          </cell>
        </row>
        <row r="265">
          <cell r="I265" t="str">
            <v>61080000 ผคน.</v>
          </cell>
          <cell r="K265" t="str">
            <v>10503205 พอ.ปจน.</v>
          </cell>
        </row>
        <row r="266">
          <cell r="I266" t="str">
            <v>61080010 คค.ผคน.</v>
          </cell>
          <cell r="K266" t="str">
            <v>10503301 ขปน.</v>
          </cell>
        </row>
        <row r="267">
          <cell r="I267" t="str">
            <v>61080011 ผ.คน. คค.</v>
          </cell>
          <cell r="K267" t="str">
            <v>10503302 รข.ขปน.</v>
          </cell>
        </row>
        <row r="268">
          <cell r="I268" t="str">
            <v>61080012 ผ.คล. คค.</v>
          </cell>
          <cell r="K268" t="str">
            <v>10503303 ปง.ขปน.</v>
          </cell>
        </row>
        <row r="269">
          <cell r="I269" t="str">
            <v>61080013 ผ.มว. คค.</v>
          </cell>
          <cell r="K269" t="str">
            <v>10504001 ผคน.</v>
          </cell>
        </row>
        <row r="270">
          <cell r="I270" t="str">
            <v>61080014 ผ.คพ. คค.</v>
          </cell>
          <cell r="K270" t="str">
            <v>10504002 สซ.ผคน.</v>
          </cell>
        </row>
        <row r="271">
          <cell r="I271" t="str">
            <v>61080020 สซ.ผคน.</v>
          </cell>
          <cell r="K271" t="str">
            <v>10504003 ปส.ผคน.</v>
          </cell>
        </row>
        <row r="272">
          <cell r="I272" t="str">
            <v>61080040 ปส.ผคน.</v>
          </cell>
          <cell r="K272" t="str">
            <v>10504101 คค.ผคน.</v>
          </cell>
        </row>
        <row r="273">
          <cell r="I273" t="str">
            <v>61081000 ปกน.</v>
          </cell>
          <cell r="K273" t="str">
            <v>10504102 ผ.คน. คค.</v>
          </cell>
        </row>
        <row r="274">
          <cell r="I274" t="str">
            <v>61081001 คน.ปอ.</v>
          </cell>
          <cell r="K274" t="str">
            <v>10504103 ผ.คล. คค.</v>
          </cell>
        </row>
        <row r="275">
          <cell r="I275" t="str">
            <v>61081002 คน.สค.</v>
          </cell>
          <cell r="K275" t="str">
            <v>10504104 ผ.มว. คค.</v>
          </cell>
        </row>
        <row r="276">
          <cell r="I276" t="str">
            <v>61081010 คน.พข.</v>
          </cell>
          <cell r="K276" t="str">
            <v>10504105 ผ.คพ. คค.</v>
          </cell>
        </row>
        <row r="277">
          <cell r="I277" t="str">
            <v>61081011 ผ.ปก.A คน.พข</v>
          </cell>
          <cell r="K277" t="str">
            <v>10504201 วซน.</v>
          </cell>
        </row>
        <row r="278">
          <cell r="I278" t="str">
            <v>61081012 ผ.ปก.B คน.พข</v>
          </cell>
          <cell r="K278" t="str">
            <v>10504202 วค.วซน.</v>
          </cell>
        </row>
        <row r="279">
          <cell r="I279" t="str">
            <v>61081013 ผ.ปก.C คน.พข</v>
          </cell>
          <cell r="K279" t="str">
            <v>10504203 คพ.วซน.</v>
          </cell>
        </row>
        <row r="280">
          <cell r="I280" t="str">
            <v>61081014 ผ.ปก.D คน.พข</v>
          </cell>
          <cell r="K280" t="str">
            <v>10504301 มว.วซน.</v>
          </cell>
        </row>
        <row r="281">
          <cell r="I281" t="str">
            <v>61081020 คป.บจ.</v>
          </cell>
          <cell r="K281" t="str">
            <v>10504302 ผ.ตม. มว.</v>
          </cell>
        </row>
        <row r="282">
          <cell r="I282" t="str">
            <v>61081021 ผ.ปก.A คป.บจ</v>
          </cell>
          <cell r="K282" t="str">
            <v>10504303 ผ.ตป. มว.</v>
          </cell>
        </row>
        <row r="283">
          <cell r="I283" t="str">
            <v>61081022 ผ.ปก.B คป.บจ</v>
          </cell>
          <cell r="K283" t="str">
            <v>10504304 ผ.คร. มว.</v>
          </cell>
        </row>
        <row r="284">
          <cell r="I284" t="str">
            <v>61081023 ผ.ปก.C คป.บจ</v>
          </cell>
          <cell r="K284" t="str">
            <v>10504401 ซบ.ฝวน.</v>
          </cell>
        </row>
        <row r="285">
          <cell r="I285" t="str">
            <v>61081024 ผ.ปก.D คป.บจ</v>
          </cell>
          <cell r="K285" t="str">
            <v>10504402 ผ.บษ.ซบ.</v>
          </cell>
        </row>
        <row r="286">
          <cell r="I286" t="str">
            <v>61081025 ผ.รถ. คป.บจ.</v>
          </cell>
          <cell r="K286" t="str">
            <v>10504403 ผ.บบ.ซบ.</v>
          </cell>
        </row>
        <row r="287">
          <cell r="I287" t="str">
            <v>61081026 ผ.บป. คป.บจ.</v>
          </cell>
          <cell r="K287" t="str">
            <v>10504404 ผ.ทบ.ซบ.</v>
          </cell>
        </row>
        <row r="288">
          <cell r="I288" t="str">
            <v>61081030 คน.ลก.</v>
          </cell>
          <cell r="K288" t="str">
            <v>10505001 ปกน.</v>
          </cell>
        </row>
        <row r="289">
          <cell r="I289" t="str">
            <v>61081031 ผ.ปม.คน.ลก.</v>
          </cell>
          <cell r="K289" t="str">
            <v>10505002 งค.ปกน.</v>
          </cell>
        </row>
        <row r="290">
          <cell r="I290" t="str">
            <v>61081032 ผ.บข.คน.ลก.</v>
          </cell>
          <cell r="K290" t="str">
            <v>10505111 คน.พข.</v>
          </cell>
        </row>
        <row r="291">
          <cell r="I291" t="str">
            <v>61081040 คน.สบ.</v>
          </cell>
          <cell r="K291" t="str">
            <v>10505201 หน่วยสนับสนุน คป.บจ.</v>
          </cell>
        </row>
        <row r="292">
          <cell r="I292" t="str">
            <v>61081041 ผ.ปม.คน.สบ.</v>
          </cell>
          <cell r="K292" t="str">
            <v>10505281 คน.บจ.</v>
          </cell>
        </row>
        <row r="293">
          <cell r="I293" t="str">
            <v>61081042 ผ.บข.คน.สบ.</v>
          </cell>
          <cell r="K293" t="str">
            <v>10505311 คน.ลก.</v>
          </cell>
        </row>
        <row r="294">
          <cell r="I294" t="str">
            <v>61081050 งค.ปกน.</v>
          </cell>
          <cell r="K294" t="str">
            <v>10505411 คน.สบ.</v>
          </cell>
        </row>
        <row r="295">
          <cell r="I295" t="str">
            <v>61082000 ปภน.</v>
          </cell>
          <cell r="K295" t="str">
            <v>10505511 คน.ปอ.</v>
          </cell>
        </row>
        <row r="296">
          <cell r="I296" t="str">
            <v>61082010 คน.ชม.</v>
          </cell>
          <cell r="K296" t="str">
            <v>10505611 คน.สค.</v>
          </cell>
        </row>
        <row r="297">
          <cell r="I297" t="str">
            <v>61082011 ผ.ปอ.คน.ชม.</v>
          </cell>
          <cell r="K297" t="str">
            <v>10506001 ปภน.</v>
          </cell>
        </row>
        <row r="298">
          <cell r="I298" t="str">
            <v>61082012 ผ.ปม.คน.ชม.</v>
          </cell>
          <cell r="K298" t="str">
            <v>10506101 หน่วยสนับสนุน คน.ชม.</v>
          </cell>
        </row>
        <row r="299">
          <cell r="I299" t="str">
            <v>61082013 ผ.บข.คน.ชม.</v>
          </cell>
          <cell r="K299" t="str">
            <v>10506181 คน.ชม.</v>
          </cell>
        </row>
        <row r="300">
          <cell r="I300" t="str">
            <v>61082020 คป.ลป.</v>
          </cell>
          <cell r="K300" t="str">
            <v>10506183 สอ.ชม.</v>
          </cell>
        </row>
        <row r="301">
          <cell r="I301" t="str">
            <v>61082021 ผ.ปก.คป.ลป.</v>
          </cell>
          <cell r="K301" t="str">
            <v>10506201 หน่วยสนับสนุน คป.ลป.</v>
          </cell>
        </row>
        <row r="302">
          <cell r="I302" t="str">
            <v>61082022 ผ.ปม.คป.ลป.</v>
          </cell>
          <cell r="K302" t="str">
            <v>10506281 คน.ลป.</v>
          </cell>
        </row>
        <row r="303">
          <cell r="I303" t="str">
            <v>61082023 ผ.บข.คป.ลป.</v>
          </cell>
          <cell r="K303" t="str">
            <v>10506282 คก.ลป.</v>
          </cell>
        </row>
        <row r="304">
          <cell r="I304" t="str">
            <v>61082030 คน.ดช.</v>
          </cell>
          <cell r="K304" t="str">
            <v>10506311 คน.ดช.</v>
          </cell>
        </row>
        <row r="305">
          <cell r="I305" t="str">
            <v>61082031 ผ.ปม.คน.ดช.</v>
          </cell>
          <cell r="K305" t="str">
            <v>10506411 คน.พล.</v>
          </cell>
        </row>
        <row r="306">
          <cell r="I306" t="str">
            <v>61082032 ผ.บข.คน.ดช.</v>
          </cell>
          <cell r="K306" t="str">
            <v>10506501 หน่วยสนับสนุน คป.นว.</v>
          </cell>
        </row>
        <row r="307">
          <cell r="I307" t="str">
            <v>61082040 คน.พล.</v>
          </cell>
          <cell r="K307" t="str">
            <v>10506581 คน.นว.</v>
          </cell>
        </row>
        <row r="308">
          <cell r="I308" t="str">
            <v>61082041 ผ.ปม.คน.พล.</v>
          </cell>
          <cell r="K308" t="str">
            <v>10506582 คก.นว.</v>
          </cell>
        </row>
        <row r="309">
          <cell r="I309" t="str">
            <v>61082042 ผ.บข.คน.พล.</v>
          </cell>
          <cell r="K309" t="str">
            <v>10506611 คน.อด.</v>
          </cell>
        </row>
        <row r="310">
          <cell r="I310" t="str">
            <v>61082050 คป.นว.</v>
          </cell>
          <cell r="K310" t="str">
            <v>10506701 หน่วยสนับสนุน คป.ขก.</v>
          </cell>
        </row>
        <row r="311">
          <cell r="I311" t="str">
            <v>61082051 ผ.ปม.คป.นว.</v>
          </cell>
          <cell r="K311" t="str">
            <v>10506781 คน.ขก.</v>
          </cell>
        </row>
        <row r="312">
          <cell r="I312" t="str">
            <v>61082052 ผ.ปก.คป.นว.</v>
          </cell>
          <cell r="K312" t="str">
            <v>10506782 คก.ขก.</v>
          </cell>
        </row>
        <row r="313">
          <cell r="I313" t="str">
            <v>61082053 ผ.บข.คป.นว.</v>
          </cell>
          <cell r="K313" t="str">
            <v>10506811 คน.นม.</v>
          </cell>
        </row>
        <row r="314">
          <cell r="I314" t="str">
            <v>61082060 คน.อด.</v>
          </cell>
          <cell r="K314" t="str">
            <v>10506911 คน.อบ.</v>
          </cell>
        </row>
        <row r="315">
          <cell r="I315" t="str">
            <v>61082061 ผ.ปม.คน.อด.</v>
          </cell>
          <cell r="K315" t="str">
            <v>10507001 หน่วยสนับสนุน คป.สร.</v>
          </cell>
        </row>
        <row r="316">
          <cell r="I316" t="str">
            <v>61082062 ผ.บข.คน.อด.</v>
          </cell>
          <cell r="K316" t="str">
            <v>10507081 คน.สร.</v>
          </cell>
        </row>
        <row r="317">
          <cell r="I317" t="str">
            <v>61082070 คป.ขก.</v>
          </cell>
          <cell r="K317" t="str">
            <v>10507082 คก.สร.</v>
          </cell>
        </row>
        <row r="318">
          <cell r="I318" t="str">
            <v>61082071 ผ.ปก.คป.ขก.</v>
          </cell>
          <cell r="K318" t="str">
            <v>10507111 คน.ปพ.</v>
          </cell>
        </row>
        <row r="319">
          <cell r="I319" t="str">
            <v>61082072 ผ.ปม.คป.ขก.</v>
          </cell>
          <cell r="K319" t="str">
            <v>10507201 หน่วยสนับสนุน คน.ภก.</v>
          </cell>
        </row>
        <row r="320">
          <cell r="I320" t="str">
            <v>61082073 ผ.บข.คป.ขก.</v>
          </cell>
          <cell r="K320" t="str">
            <v>10507281 คน.ภก.</v>
          </cell>
        </row>
        <row r="321">
          <cell r="I321" t="str">
            <v>61082080 คน.นม.</v>
          </cell>
          <cell r="K321" t="str">
            <v>10507283 สอ.ภก.</v>
          </cell>
        </row>
        <row r="322">
          <cell r="I322" t="str">
            <v>61082081 ผ.ปม.คน.นม.</v>
          </cell>
          <cell r="K322" t="str">
            <v>10507301 หน่วยสนับสนุน คป.สข.</v>
          </cell>
        </row>
        <row r="323">
          <cell r="I323" t="str">
            <v>61082082 ผ.บข.คน.นม.</v>
          </cell>
          <cell r="K323" t="str">
            <v>10507381 คน.สข.</v>
          </cell>
        </row>
        <row r="324">
          <cell r="I324" t="str">
            <v>61082090 คน.อบ.</v>
          </cell>
          <cell r="K324" t="str">
            <v>10507382 คก.สข.</v>
          </cell>
        </row>
        <row r="325">
          <cell r="I325" t="str">
            <v>61082091 ผ.ปม.คน.อบ.</v>
          </cell>
          <cell r="K325" t="str">
            <v>10507383 สอ.หญ.</v>
          </cell>
        </row>
        <row r="326">
          <cell r="I326" t="str">
            <v>61082092 ผ.บข.คน.อบ.</v>
          </cell>
          <cell r="K326" t="str">
            <v>10507431 สอ.อภ.</v>
          </cell>
        </row>
        <row r="327">
          <cell r="I327" t="str">
            <v>61082100 คป.สร.</v>
          </cell>
          <cell r="K327" t="str">
            <v>10508001 ปอน.</v>
          </cell>
        </row>
        <row r="328">
          <cell r="I328" t="str">
            <v>61082101 ผ.ปก.คป.สร.</v>
          </cell>
          <cell r="K328" t="str">
            <v>10508002 ผ.วภ. ปอน.</v>
          </cell>
        </row>
        <row r="329">
          <cell r="I329" t="str">
            <v>61082102 ผ.ปม.คป.สร.</v>
          </cell>
          <cell r="K329" t="str">
            <v>10508111 คน.ศร.</v>
          </cell>
        </row>
        <row r="330">
          <cell r="I330" t="str">
            <v>61082103 ผ.บข.คป.สร.</v>
          </cell>
          <cell r="K330" t="str">
            <v>10508221 คก.ขบ.</v>
          </cell>
        </row>
        <row r="331">
          <cell r="I331" t="str">
            <v>61082104 ผ.ทค.คป.สร.</v>
          </cell>
          <cell r="K331" t="str">
            <v>10508321 คก.บป.</v>
          </cell>
        </row>
        <row r="332">
          <cell r="I332" t="str">
            <v>61082110 คน.ปพ.</v>
          </cell>
          <cell r="K332" t="str">
            <v>10508411 บจ.ฝลน.</v>
          </cell>
        </row>
        <row r="333">
          <cell r="I333" t="str">
            <v>61082111 ผ.ปม.คน.ปพ.</v>
          </cell>
          <cell r="K333" t="str">
            <v>10508501 บก.ปอน.</v>
          </cell>
        </row>
        <row r="334">
          <cell r="I334" t="str">
            <v>61082112 ผ.บข.คน.ปพ.</v>
          </cell>
          <cell r="K334" t="str">
            <v>10508502 ผ.อส. บก.</v>
          </cell>
        </row>
        <row r="335">
          <cell r="I335" t="str">
            <v>61082120 คน.ภก.</v>
          </cell>
          <cell r="K335" t="str">
            <v>10508601 ซค.ปอน.</v>
          </cell>
        </row>
        <row r="336">
          <cell r="I336" t="str">
            <v>61082121 ผ.ปอ.คน.ภก.</v>
          </cell>
          <cell r="K336" t="str">
            <v>10509001 รธน.</v>
          </cell>
        </row>
        <row r="337">
          <cell r="I337" t="str">
            <v>61082122 ผ.ปม.คน.ภก.</v>
          </cell>
          <cell r="K337" t="str">
            <v>10509002 ธน.</v>
          </cell>
        </row>
        <row r="338">
          <cell r="I338" t="str">
            <v>61082123 ผ.บข.คน.ภก.</v>
          </cell>
          <cell r="K338" t="str">
            <v>10509003 ปพ.ธกน.</v>
          </cell>
        </row>
        <row r="339">
          <cell r="I339" t="str">
            <v>61082130 คป.สข.</v>
          </cell>
          <cell r="K339" t="str">
            <v>10509004 คช.ธกน.</v>
          </cell>
        </row>
        <row r="340">
          <cell r="I340" t="str">
            <v>61082131 ผ.ปอ.คป.สข.</v>
          </cell>
          <cell r="K340" t="str">
            <v>10509005 บษน.</v>
          </cell>
        </row>
        <row r="341">
          <cell r="I341" t="str">
            <v>61082132 ผ.ทค.คป.สข.</v>
          </cell>
          <cell r="K341" t="str">
            <v>10509101 ผงน.</v>
          </cell>
        </row>
        <row r="342">
          <cell r="I342" t="str">
            <v>61082133 ผ.ปม.คป.สข.</v>
          </cell>
          <cell r="K342" t="str">
            <v>10509102 กง.ผงน.</v>
          </cell>
        </row>
        <row r="343">
          <cell r="I343" t="str">
            <v>61082134 ผ.ปก.คป.สข.</v>
          </cell>
          <cell r="K343" t="str">
            <v>10509103 งน.กง.ผงน.</v>
          </cell>
        </row>
        <row r="344">
          <cell r="I344" t="str">
            <v>61082135 ผ.บข.คป.สข.</v>
          </cell>
          <cell r="K344" t="str">
            <v>10509104 งต.กง.ผงน.</v>
          </cell>
        </row>
        <row r="345">
          <cell r="I345" t="str">
            <v>61082136 ผ.บป.คป.สข.</v>
          </cell>
          <cell r="K345" t="str">
            <v>10509105 บชน.</v>
          </cell>
        </row>
        <row r="346">
          <cell r="I346" t="str">
            <v>61082140 สอ.อภ.</v>
          </cell>
          <cell r="K346" t="str">
            <v>10509106 ชข.บชน.</v>
          </cell>
        </row>
        <row r="347">
          <cell r="I347" t="str">
            <v>61083000 ปอน.</v>
          </cell>
          <cell r="K347" t="str">
            <v>10509107 ชธ.บชน.</v>
          </cell>
        </row>
        <row r="348">
          <cell r="I348" t="str">
            <v>61083001 ผ.วภ. ปอน.</v>
          </cell>
          <cell r="K348" t="str">
            <v>10509108 บล.บชน.</v>
          </cell>
        </row>
        <row r="349">
          <cell r="I349" t="str">
            <v>61083010 คน.ศร.</v>
          </cell>
          <cell r="K349" t="str">
            <v>10509109 บจ.บชน.</v>
          </cell>
        </row>
        <row r="350">
          <cell r="I350" t="str">
            <v>61083011 ผ.ปก.A คน.ศร</v>
          </cell>
          <cell r="K350" t="str">
            <v>10509110 บห.บชน.</v>
          </cell>
        </row>
        <row r="351">
          <cell r="I351" t="str">
            <v>61083012 ผ.ปก.B คน.ศร</v>
          </cell>
          <cell r="K351" t="str">
            <v>10509111 ภท.บชน.</v>
          </cell>
        </row>
        <row r="352">
          <cell r="I352" t="str">
            <v>61083013 ผ.ปก.C คน.ศร</v>
          </cell>
          <cell r="K352" t="str">
            <v>10509112 สชน.</v>
          </cell>
        </row>
        <row r="353">
          <cell r="I353" t="str">
            <v>61083014 ผ.ปก.D คน.ศร</v>
          </cell>
          <cell r="K353" t="str">
            <v>10509113 ชป.สชน.</v>
          </cell>
        </row>
        <row r="354">
          <cell r="I354" t="str">
            <v>61083015 ผ.บข.คน.ศร.</v>
          </cell>
          <cell r="K354" t="str">
            <v>10509114 สภ.สชน.</v>
          </cell>
        </row>
        <row r="355">
          <cell r="I355" t="str">
            <v>61083020 คก.ขบ.</v>
          </cell>
          <cell r="K355" t="str">
            <v>10509115 ชพ.สชน.</v>
          </cell>
        </row>
        <row r="356">
          <cell r="I356" t="str">
            <v>61083021 ผ.ปก.A คก.ขบ</v>
          </cell>
          <cell r="K356" t="str">
            <v>10509117 บส.สชน.</v>
          </cell>
        </row>
        <row r="357">
          <cell r="I357" t="str">
            <v>61083022 ผ.ปก.B คก.ขบ</v>
          </cell>
          <cell r="K357" t="str">
            <v>10509118 ชต.สชน.</v>
          </cell>
        </row>
        <row r="358">
          <cell r="I358" t="str">
            <v>61083023 ผ.ปก.C คก.ขบ</v>
          </cell>
          <cell r="K358" t="str">
            <v>10509201 บคน.</v>
          </cell>
        </row>
        <row r="359">
          <cell r="I359" t="str">
            <v>61083024 ผ.ปก.D คก.ขบ</v>
          </cell>
          <cell r="K359" t="str">
            <v>10509301 ผผน.</v>
          </cell>
        </row>
        <row r="360">
          <cell r="I360" t="str">
            <v>61083030 คก.บป.</v>
          </cell>
          <cell r="K360" t="str">
            <v>10509302 วผน.</v>
          </cell>
        </row>
        <row r="361">
          <cell r="I361" t="str">
            <v>61083031 ผ.ปข. คก.บป.</v>
          </cell>
          <cell r="K361" t="str">
            <v>10509303 พธน.</v>
          </cell>
        </row>
        <row r="362">
          <cell r="I362" t="str">
            <v>61083032 ผ.รซ. คก.บป.</v>
          </cell>
          <cell r="K362" t="str">
            <v>10509401 ตลน.</v>
          </cell>
        </row>
        <row r="363">
          <cell r="I363" t="str">
            <v>61083033 ผ.บข. คก.บป.</v>
          </cell>
          <cell r="K363" t="str">
            <v>10509402 ตล.ตลน.</v>
          </cell>
        </row>
        <row r="364">
          <cell r="I364" t="str">
            <v>61083040 บก.ปอน.</v>
          </cell>
          <cell r="K364" t="str">
            <v>10509403 ทล.ตลน.</v>
          </cell>
        </row>
        <row r="365">
          <cell r="I365" t="str">
            <v>61083041 ผ.อส. บก.</v>
          </cell>
          <cell r="K365" t="str">
            <v>10509404 นล.ตลน.</v>
          </cell>
        </row>
        <row r="366">
          <cell r="I366" t="str">
            <v>61083042 ผ.บป. บก.</v>
          </cell>
          <cell r="K366" t="str">
            <v>10700001 ผปน.</v>
          </cell>
        </row>
        <row r="367">
          <cell r="I367" t="str">
            <v>61083043 ผ.บผ. บก.</v>
          </cell>
          <cell r="K367" t="str">
            <v>10700002 คป.ผปน.</v>
          </cell>
        </row>
        <row r="368">
          <cell r="I368" t="str">
            <v>61083044 ผ.ดพ. บก.</v>
          </cell>
          <cell r="K368" t="str">
            <v>10700003 จข.ผปน.</v>
          </cell>
        </row>
        <row r="369">
          <cell r="I369" t="str">
            <v>61083050 บจ.ปอน.</v>
          </cell>
          <cell r="K369" t="str">
            <v>10700004 นดน.</v>
          </cell>
        </row>
        <row r="370">
          <cell r="I370" t="str">
            <v>61083060 ซค.ปอน.</v>
          </cell>
          <cell r="K370" t="str">
            <v>10700005 นสน.</v>
          </cell>
        </row>
        <row r="371">
          <cell r="I371" t="str">
            <v>61084000 วซน.</v>
          </cell>
          <cell r="K371" t="str">
            <v>10700101 วสน.</v>
          </cell>
        </row>
        <row r="372">
          <cell r="I372" t="str">
            <v>61084010 วค.วซน.</v>
          </cell>
          <cell r="K372" t="str">
            <v>10700102 คส.วสน.</v>
          </cell>
        </row>
        <row r="373">
          <cell r="I373" t="str">
            <v>61084020 มว.วซน.</v>
          </cell>
          <cell r="K373" t="str">
            <v>10700103 ตต.วสน.</v>
          </cell>
        </row>
        <row r="374">
          <cell r="I374" t="str">
            <v>61084021 ผ.ตม. มว.</v>
          </cell>
        </row>
        <row r="375">
          <cell r="I375" t="str">
            <v>61084022 ผ.ตป. มว.</v>
          </cell>
        </row>
        <row r="376">
          <cell r="I376" t="str">
            <v>61084023 ผ.คร. มว.</v>
          </cell>
        </row>
        <row r="377">
          <cell r="I377" t="str">
            <v>61084030 ซบ.วซน.</v>
          </cell>
        </row>
        <row r="378">
          <cell r="I378" t="str">
            <v>61084036 ผ.บษ.</v>
          </cell>
        </row>
        <row r="379">
          <cell r="I379" t="str">
            <v>61084037 ผ.บบ.</v>
          </cell>
        </row>
        <row r="380">
          <cell r="I380" t="str">
            <v>61084038 ผ.ทบ.</v>
          </cell>
        </row>
        <row r="381">
          <cell r="I381" t="str">
            <v>61084040 คพ.วซน.</v>
          </cell>
        </row>
        <row r="382">
          <cell r="I382" t="str">
            <v>69999999 หน่วยรับโอน</v>
          </cell>
        </row>
        <row r="383">
          <cell r="I383" t="str">
            <v>71000000 ธกก.</v>
          </cell>
        </row>
        <row r="384">
          <cell r="I384" t="str">
            <v>71000010 ธก.</v>
          </cell>
        </row>
        <row r="385">
          <cell r="I385" t="str">
            <v>71000020 ชพ.ธกก.</v>
          </cell>
        </row>
        <row r="386">
          <cell r="I386" t="str">
            <v>71000030 คอ.ธกก.</v>
          </cell>
        </row>
        <row r="387">
          <cell r="I387" t="str">
            <v>71001000 บคก.</v>
          </cell>
        </row>
        <row r="388">
          <cell r="I388" t="str">
            <v>71002000 บชก.</v>
          </cell>
        </row>
        <row r="389">
          <cell r="I389" t="str">
            <v>71002010 งส.ฝชก.</v>
          </cell>
        </row>
        <row r="390">
          <cell r="I390" t="str">
            <v>71002020 บช.บชก.</v>
          </cell>
        </row>
        <row r="391">
          <cell r="I391" t="str">
            <v>71002030 บห.บชก.</v>
          </cell>
        </row>
        <row r="392">
          <cell r="I392" t="str">
            <v>71003000 ทจก.</v>
          </cell>
        </row>
        <row r="393">
          <cell r="I393" t="str">
            <v>71003010 ตข.ทจก.</v>
          </cell>
        </row>
        <row r="394">
          <cell r="I394" t="str">
            <v>71003020 บซ.ทจก.</v>
          </cell>
        </row>
        <row r="395">
          <cell r="I395" t="str">
            <v>71003030 วค.ทจก.</v>
          </cell>
        </row>
        <row r="396">
          <cell r="I396" t="str">
            <v>71004000 ตยก.</v>
          </cell>
        </row>
        <row r="397">
          <cell r="I397" t="str">
            <v>71004010 ตพ. ตยก.</v>
          </cell>
        </row>
        <row r="398">
          <cell r="I398" t="str">
            <v>71004020 ทซ. ตยก.</v>
          </cell>
        </row>
        <row r="399">
          <cell r="I399" t="str">
            <v>71004030 บถ. ตยก.</v>
          </cell>
        </row>
        <row r="400">
          <cell r="I400" t="str">
            <v>71010000 ผคก.</v>
          </cell>
        </row>
        <row r="401">
          <cell r="I401" t="str">
            <v>71010010 คทพ.</v>
          </cell>
        </row>
        <row r="402">
          <cell r="I402" t="str">
            <v>71010011 คทพ.หน่วย1</v>
          </cell>
        </row>
        <row r="403">
          <cell r="I403" t="str">
            <v>71010012 คทพ.หน่วย2</v>
          </cell>
        </row>
        <row r="404">
          <cell r="I404" t="str">
            <v>71010013 คทพ.หน่วย3</v>
          </cell>
        </row>
        <row r="405">
          <cell r="I405" t="str">
            <v>71010020 คกจ.</v>
          </cell>
        </row>
        <row r="406">
          <cell r="I406" t="str">
            <v>71010030 คกร.</v>
          </cell>
        </row>
        <row r="407">
          <cell r="I407" t="str">
            <v>71010031 คกร.หน่วย1</v>
          </cell>
        </row>
        <row r="408">
          <cell r="I408" t="str">
            <v>71010032 คกร.หน่วย2</v>
          </cell>
        </row>
        <row r="409">
          <cell r="I409" t="str">
            <v>71010033 คกร.หน่วย3</v>
          </cell>
        </row>
        <row r="410">
          <cell r="I410" t="str">
            <v>71010040 คยก.5</v>
          </cell>
        </row>
        <row r="411">
          <cell r="I411" t="str">
            <v>71010041 คยก.5 หน่วย1</v>
          </cell>
        </row>
        <row r="412">
          <cell r="I412" t="str">
            <v>71010042 คยก.5 หน่วย2</v>
          </cell>
        </row>
        <row r="413">
          <cell r="I413" t="str">
            <v>71010043 คยก.5 หน่วย3</v>
          </cell>
        </row>
        <row r="414">
          <cell r="I414" t="str">
            <v>71010050 คนต.</v>
          </cell>
        </row>
        <row r="415">
          <cell r="I415" t="str">
            <v>71010051 คนต.หน่วย1</v>
          </cell>
        </row>
        <row r="416">
          <cell r="I416" t="str">
            <v>71010052 คนต.หน่วย2</v>
          </cell>
        </row>
        <row r="417">
          <cell r="I417" t="str">
            <v>71010053 คนต.หน่วย3</v>
          </cell>
        </row>
        <row r="418">
          <cell r="I418" t="str">
            <v>71010060 คกข.</v>
          </cell>
        </row>
        <row r="419">
          <cell r="I419" t="str">
            <v>71010070 คกย.</v>
          </cell>
        </row>
        <row r="420">
          <cell r="I420" t="str">
            <v>71010071 คกย.หน่วย1</v>
          </cell>
        </row>
        <row r="421">
          <cell r="I421" t="str">
            <v>71010072 คกย.หน่วย2</v>
          </cell>
        </row>
        <row r="422">
          <cell r="I422" t="str">
            <v>71010073 คกย.หน่วย3</v>
          </cell>
        </row>
        <row r="423">
          <cell r="I423" t="str">
            <v>71010080 คทก.3</v>
          </cell>
        </row>
        <row r="424">
          <cell r="I424" t="str">
            <v>71010081 คทก.3 หน่วย1</v>
          </cell>
        </row>
        <row r="425">
          <cell r="I425" t="str">
            <v>71010082 คทก.3 หน่วย2</v>
          </cell>
        </row>
        <row r="426">
          <cell r="I426" t="str">
            <v>71010083 คทก.3 หน่วย3</v>
          </cell>
        </row>
        <row r="427">
          <cell r="I427" t="str">
            <v>71011000 สคก.</v>
          </cell>
        </row>
        <row r="428">
          <cell r="I428" t="str">
            <v>71011010 กด.สคก.</v>
          </cell>
        </row>
        <row r="429">
          <cell r="I429" t="str">
            <v>71011020 วล.สคก.</v>
          </cell>
        </row>
        <row r="430">
          <cell r="I430" t="str">
            <v>71011030 มส.สคก.</v>
          </cell>
        </row>
        <row r="431">
          <cell r="I431" t="str">
            <v>71012000 คนก.</v>
          </cell>
        </row>
        <row r="432">
          <cell r="I432" t="str">
            <v>71012010 ตป.คนก.</v>
          </cell>
        </row>
        <row r="433">
          <cell r="I433" t="str">
            <v>71012020 วศ.คนก.</v>
          </cell>
        </row>
        <row r="434">
          <cell r="I434" t="str">
            <v>71012030 กส.คนก.</v>
          </cell>
        </row>
        <row r="435">
          <cell r="I435" t="str">
            <v>71013000 คตพ.</v>
          </cell>
        </row>
        <row r="436">
          <cell r="I436" t="str">
            <v>71013010 ตป.คตพ.</v>
          </cell>
        </row>
        <row r="437">
          <cell r="I437" t="str">
            <v>71013020 วศ.คตพ.</v>
          </cell>
        </row>
        <row r="438">
          <cell r="I438" t="str">
            <v>71013030 กส.คตพ.</v>
          </cell>
        </row>
        <row r="439">
          <cell r="I439" t="str">
            <v>71020000 ผผก.</v>
          </cell>
        </row>
        <row r="440">
          <cell r="I440" t="str">
            <v>71021000 วผก.</v>
          </cell>
        </row>
        <row r="441">
          <cell r="I441" t="str">
            <v>71022000 พธก.</v>
          </cell>
        </row>
        <row r="442">
          <cell r="I442" t="str">
            <v>71023000 บษก.</v>
          </cell>
        </row>
        <row r="443">
          <cell r="I443" t="str">
            <v>71030000 ผจก.</v>
          </cell>
        </row>
        <row r="444">
          <cell r="I444" t="str">
            <v>71030020 กส.ผจก.</v>
          </cell>
        </row>
        <row r="445">
          <cell r="I445" t="str">
            <v>71031000 จหก.</v>
          </cell>
        </row>
        <row r="446">
          <cell r="I446" t="str">
            <v>71031010 บจ.จหก.</v>
          </cell>
        </row>
        <row r="447">
          <cell r="I447" t="str">
            <v>71031020 บต.จหก.</v>
          </cell>
        </row>
        <row r="448">
          <cell r="I448" t="str">
            <v>71032000 ตสก.</v>
          </cell>
        </row>
        <row r="449">
          <cell r="I449" t="str">
            <v>71032010 ตธ.ตสก.</v>
          </cell>
        </row>
        <row r="450">
          <cell r="I450" t="str">
            <v>71032020 บห.ตสก.</v>
          </cell>
        </row>
        <row r="451">
          <cell r="I451" t="str">
            <v>71040000 ผทก.</v>
          </cell>
        </row>
        <row r="452">
          <cell r="I452" t="str">
            <v>71040010 บล.ผทก.</v>
          </cell>
        </row>
        <row r="453">
          <cell r="I453" t="str">
            <v>71040020 ปว.ผทก.</v>
          </cell>
        </row>
        <row r="454">
          <cell r="I454" t="str">
            <v>71040040 บท.ผทก.</v>
          </cell>
        </row>
        <row r="455">
          <cell r="I455" t="str">
            <v>71041000 ปทก.</v>
          </cell>
        </row>
        <row r="456">
          <cell r="I456" t="str">
            <v>71041010 ปล.ปทก.</v>
          </cell>
        </row>
        <row r="457">
          <cell r="I457" t="str">
            <v>71041011 ผ.ปล.1</v>
          </cell>
        </row>
        <row r="458">
          <cell r="I458" t="str">
            <v>71041012 ผ.ปล.2</v>
          </cell>
        </row>
        <row r="459">
          <cell r="I459" t="str">
            <v>71041050 ปท.4</v>
          </cell>
        </row>
        <row r="460">
          <cell r="I460" t="str">
            <v>71041053 ผ.ปท.4-2</v>
          </cell>
        </row>
        <row r="461">
          <cell r="I461" t="str">
            <v>71041054 ผ.ปท.4-1</v>
          </cell>
        </row>
        <row r="462">
          <cell r="I462" t="str">
            <v>71041300 ปท.1</v>
          </cell>
        </row>
        <row r="463">
          <cell r="I463" t="str">
            <v>71041301 ผ.ปท.1-1</v>
          </cell>
        </row>
        <row r="464">
          <cell r="I464" t="str">
            <v>71041310 ปท.1-2</v>
          </cell>
        </row>
        <row r="465">
          <cell r="I465" t="str">
            <v>71041400 ปท.2</v>
          </cell>
        </row>
        <row r="466">
          <cell r="I466" t="str">
            <v>71041401 ผ.ปท.2-1</v>
          </cell>
        </row>
        <row r="467">
          <cell r="I467" t="str">
            <v>71041402 ผ.ปท.2-3</v>
          </cell>
        </row>
        <row r="468">
          <cell r="I468" t="str">
            <v>71041410 ปท.2-2</v>
          </cell>
        </row>
        <row r="469">
          <cell r="I469" t="str">
            <v>71041500 ปท.3</v>
          </cell>
        </row>
        <row r="470">
          <cell r="I470" t="str">
            <v>71041501 ผ.ปท.3-1</v>
          </cell>
        </row>
        <row r="471">
          <cell r="I471" t="str">
            <v>71041502 ผ.ปท.3-3</v>
          </cell>
        </row>
        <row r="472">
          <cell r="I472" t="str">
            <v>71041510 ปท.3-2</v>
          </cell>
        </row>
        <row r="473">
          <cell r="I473" t="str">
            <v>71041600 ปท.5</v>
          </cell>
        </row>
        <row r="474">
          <cell r="I474" t="str">
            <v>71041601 ผ.ปท.5-1</v>
          </cell>
        </row>
        <row r="475">
          <cell r="I475" t="str">
            <v>71041602 ผ.ปท.5-3</v>
          </cell>
        </row>
        <row r="476">
          <cell r="I476" t="str">
            <v>71041610 ปท.5-2</v>
          </cell>
        </row>
        <row r="477">
          <cell r="I477" t="str">
            <v>71041620 ปท.5-4</v>
          </cell>
        </row>
        <row r="478">
          <cell r="I478" t="str">
            <v>71042000 บทก.</v>
          </cell>
        </row>
        <row r="479">
          <cell r="I479" t="str">
            <v>71042010 จบ.บทก.</v>
          </cell>
        </row>
        <row r="480">
          <cell r="I480" t="str">
            <v>71042020 คป.บทก.</v>
          </cell>
        </row>
        <row r="481">
          <cell r="I481" t="str">
            <v>71042300 วท.บทก.</v>
          </cell>
        </row>
        <row r="482">
          <cell r="I482" t="str">
            <v>71042310 วว.วท.</v>
          </cell>
        </row>
        <row r="483">
          <cell r="I483" t="str">
            <v>71042400 คซ.บทก.</v>
          </cell>
        </row>
        <row r="484">
          <cell r="I484" t="str">
            <v>71042401 ผ.คซ.3</v>
          </cell>
        </row>
        <row r="485">
          <cell r="I485" t="str">
            <v>71042410 คซ.1</v>
          </cell>
        </row>
        <row r="486">
          <cell r="I486" t="str">
            <v>71042420 คซ.2</v>
          </cell>
        </row>
        <row r="487">
          <cell r="I487" t="str">
            <v>71050000 ผยก.</v>
          </cell>
        </row>
        <row r="488">
          <cell r="I488" t="str">
            <v>71050010 บร.ผยก.</v>
          </cell>
        </row>
        <row r="489">
          <cell r="I489" t="str">
            <v>71050020 ปภ.ผยก.</v>
          </cell>
        </row>
        <row r="490">
          <cell r="I490" t="str">
            <v>71051000 ยรก.</v>
          </cell>
        </row>
        <row r="491">
          <cell r="I491" t="str">
            <v>71051001 ผ.วป.ยรก.</v>
          </cell>
        </row>
        <row r="492">
          <cell r="I492" t="str">
            <v>71051010 วผ.ยรก.</v>
          </cell>
        </row>
        <row r="493">
          <cell r="I493" t="str">
            <v>71051020 คภ.ยรก.</v>
          </cell>
        </row>
        <row r="494">
          <cell r="I494" t="str">
            <v>71051030 วจ.ยรก.</v>
          </cell>
        </row>
        <row r="495">
          <cell r="I495" t="str">
            <v>71051300 ปผ.ยรก.</v>
          </cell>
        </row>
        <row r="496">
          <cell r="I496" t="str">
            <v>71051310 คผ.A ปผ.ยรก.</v>
          </cell>
        </row>
        <row r="497">
          <cell r="I497" t="str">
            <v>71051320 คผ.B ปผ.ยรก.</v>
          </cell>
        </row>
        <row r="498">
          <cell r="I498" t="str">
            <v>71051330 คผ.C ปผ.ยรก.</v>
          </cell>
        </row>
        <row r="499">
          <cell r="I499" t="str">
            <v>71051340 คผ.D ปผ.ยรก.</v>
          </cell>
        </row>
        <row r="500">
          <cell r="I500" t="str">
            <v>71052000 ยขก.</v>
          </cell>
        </row>
        <row r="501">
          <cell r="I501" t="str">
            <v>71052001 ผ.บท.ยขก.</v>
          </cell>
        </row>
        <row r="502">
          <cell r="I502" t="str">
            <v>71052010 ปข.ยขก.</v>
          </cell>
        </row>
        <row r="503">
          <cell r="I503" t="str">
            <v>71052011 ผ.คผ.A ปข.</v>
          </cell>
        </row>
        <row r="504">
          <cell r="I504" t="str">
            <v>71052012 ผ.คผ.B ปข.</v>
          </cell>
        </row>
        <row r="505">
          <cell r="I505" t="str">
            <v>71052013 ผ.คผ.C ปข.</v>
          </cell>
        </row>
        <row r="506">
          <cell r="I506" t="str">
            <v>71052014 ผ.คผ.D ปข.</v>
          </cell>
        </row>
        <row r="507">
          <cell r="I507" t="str">
            <v>71052015 ผ.รจ. ปข.</v>
          </cell>
        </row>
        <row r="508">
          <cell r="I508" t="str">
            <v>71052020 วบ.ยขก.</v>
          </cell>
        </row>
        <row r="509">
          <cell r="I509" t="str">
            <v>71052021 ผ.ฟค.วบ.ยขก.</v>
          </cell>
        </row>
        <row r="510">
          <cell r="I510" t="str">
            <v>71052022 ผ.คท.วบ.ยขก.</v>
          </cell>
        </row>
        <row r="511">
          <cell r="I511" t="str">
            <v>71052023 ผ.บว.วบ.ยขก.</v>
          </cell>
        </row>
        <row r="512">
          <cell r="I512" t="str">
            <v>71053000 จผก.</v>
          </cell>
        </row>
        <row r="513">
          <cell r="I513" t="str">
            <v>71053010 จจ.จผก.</v>
          </cell>
        </row>
        <row r="514">
          <cell r="I514" t="str">
            <v>71053020 ลภ.จผก.</v>
          </cell>
        </row>
        <row r="515">
          <cell r="I515" t="str">
            <v>71053030 ทผ.จผก.</v>
          </cell>
        </row>
        <row r="516">
          <cell r="I516" t="str">
            <v>71054000 วบก.</v>
          </cell>
        </row>
        <row r="517">
          <cell r="I517" t="str">
            <v>71054010 วก.วบก.</v>
          </cell>
        </row>
        <row r="518">
          <cell r="I518" t="str">
            <v>71054011 ผ.ตร.วก.วบก.</v>
          </cell>
        </row>
        <row r="519">
          <cell r="I519" t="str">
            <v>71054012 ผ.วง.วก.วบก.</v>
          </cell>
        </row>
        <row r="520">
          <cell r="I520" t="str">
            <v>71054013 ผ.รบ.วก.วบก.</v>
          </cell>
        </row>
        <row r="521">
          <cell r="I521" t="str">
            <v>71054020 บร.วบก.</v>
          </cell>
        </row>
        <row r="522">
          <cell r="I522" t="str">
            <v>71054030 บฟ.วบก.</v>
          </cell>
        </row>
        <row r="523">
          <cell r="I523" t="str">
            <v>71054040 รร.วบก.</v>
          </cell>
        </row>
        <row r="524">
          <cell r="I524" t="str">
            <v>71054050 พย.วบก.</v>
          </cell>
        </row>
        <row r="525">
          <cell r="I525" t="str">
            <v>71054051 ผ.จด.พย.วบก.</v>
          </cell>
        </row>
        <row r="526">
          <cell r="I526" t="str">
            <v>71054052 ผ.บพ.พย.วบก.</v>
          </cell>
        </row>
        <row r="527">
          <cell r="I527" t="str">
            <v>71054060 อท.วบก.</v>
          </cell>
        </row>
        <row r="528">
          <cell r="I528" t="str">
            <v>71054061 ผ.อย.อท.วบก.</v>
          </cell>
        </row>
        <row r="529">
          <cell r="I529" t="str">
            <v>71054062 ผ.อข.อท.วบก.</v>
          </cell>
        </row>
        <row r="530">
          <cell r="I530" t="str">
            <v>79999999 หน่วยรับโอน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คำอธิบายการกรอก Template"/>
      <sheetName val="ตัวอย่างการกรอก"/>
      <sheetName val="วัตถุประสงค์ที่ 1"/>
      <sheetName val="วัตถุประสงค์ที่  2"/>
      <sheetName val="วัตถุประสงค์ที่ 3"/>
      <sheetName val="วัตถุประสงค์ที่ 4"/>
      <sheetName val="วัตถุประสงค์ที่ 5"/>
      <sheetName val="DropDown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2">
            <v>1</v>
          </cell>
          <cell r="E2">
            <v>1</v>
          </cell>
          <cell r="I2">
            <v>38718</v>
          </cell>
          <cell r="N2" t="str">
            <v>ไม่เกี่ยวข้องกับการรายงาน RMC</v>
          </cell>
        </row>
        <row r="3">
          <cell r="D3">
            <v>2</v>
          </cell>
          <cell r="E3">
            <v>2</v>
          </cell>
          <cell r="I3">
            <v>38749</v>
          </cell>
          <cell r="N3" t="str">
            <v>1. Group Governance Management</v>
          </cell>
        </row>
        <row r="4">
          <cell r="D4">
            <v>3</v>
          </cell>
          <cell r="E4">
            <v>3</v>
          </cell>
          <cell r="I4">
            <v>38777</v>
          </cell>
          <cell r="N4" t="str">
            <v>2. NG Supply &amp; New Source</v>
          </cell>
        </row>
        <row r="5">
          <cell r="D5">
            <v>4</v>
          </cell>
          <cell r="E5">
            <v>4</v>
          </cell>
          <cell r="I5">
            <v>38808</v>
          </cell>
          <cell r="N5" t="str">
            <v>3. E&amp;P Asset Acquisition</v>
          </cell>
        </row>
        <row r="6">
          <cell r="I6">
            <v>38838</v>
          </cell>
          <cell r="N6" t="str">
            <v>4. Corporate Image Management</v>
          </cell>
        </row>
        <row r="7">
          <cell r="I7">
            <v>38869</v>
          </cell>
          <cell r="N7" t="str">
            <v>5. PTT Group's New DNA</v>
          </cell>
        </row>
        <row r="8">
          <cell r="I8">
            <v>38899</v>
          </cell>
          <cell r="N8" t="str">
            <v>6. NGV Business</v>
          </cell>
        </row>
        <row r="9">
          <cell r="I9">
            <v>38930</v>
          </cell>
          <cell r="N9" t="str">
            <v>7. M&amp;A Synergy</v>
          </cell>
        </row>
        <row r="10">
          <cell r="I10">
            <v>38961</v>
          </cell>
          <cell r="N10" t="str">
            <v>8. Manage and Utilize ERP</v>
          </cell>
        </row>
        <row r="11">
          <cell r="I11">
            <v>38991</v>
          </cell>
          <cell r="N11" t="str">
            <v>9. NG Regulation</v>
          </cell>
        </row>
        <row r="12">
          <cell r="I12">
            <v>39022</v>
          </cell>
          <cell r="N12" t="str">
            <v>10. LPG Value Optimization</v>
          </cell>
        </row>
        <row r="13">
          <cell r="I13">
            <v>39052</v>
          </cell>
          <cell r="N13" t="str">
            <v>11. Oil Profitability Improvement</v>
          </cell>
        </row>
        <row r="14">
          <cell r="N14" t="str">
            <v>12. Create Competitive Edge to Petchem</v>
          </cell>
        </row>
        <row r="15">
          <cell r="N15" t="str">
            <v>13. PTT Group Trading</v>
          </cell>
        </row>
        <row r="16">
          <cell r="N16" t="str">
            <v>14. Gas Project</v>
          </cell>
        </row>
        <row r="17">
          <cell r="N17" t="str">
            <v>15. P&amp;R Project</v>
          </cell>
        </row>
        <row r="18">
          <cell r="N18" t="str">
            <v>16. Gas Operation Interruption</v>
          </cell>
        </row>
        <row r="19">
          <cell r="N19" t="str">
            <v>17. Oil Operation Interruption</v>
          </cell>
        </row>
        <row r="20">
          <cell r="N20" t="str">
            <v>18. Water Shortage</v>
          </cell>
        </row>
        <row r="21">
          <cell r="N21" t="str">
            <v>19. Group Treasury Management</v>
          </cell>
        </row>
        <row r="22">
          <cell r="N22" t="str">
            <v>20. Credit Risk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treive Raw data"/>
      <sheetName val="Production Plan Cal"/>
      <sheetName val="Production Plan Val"/>
      <sheetName val="Monthly Actual Production"/>
      <sheetName val="Actual Production (Graph)"/>
      <sheetName val="Plan vs. Actual"/>
      <sheetName val="Condensate"/>
      <sheetName val="tank %"/>
      <sheetName val="Monthly Plan1"/>
      <sheetName val="Monthly Plan2"/>
      <sheetName val="Utilities (PI)"/>
      <sheetName val="Utilites (Actual)"/>
      <sheetName val="DT"/>
      <sheetName val="Downtime"/>
      <sheetName val="for meeting"/>
    </sheetNames>
    <sheetDataSet>
      <sheetData sheetId="0">
        <row r="1">
          <cell r="T1" t="str">
            <v>steam 40HS 2.9 ton/ton BPA</v>
          </cell>
        </row>
        <row r="2">
          <cell r="AF2" t="str">
            <v>Sale</v>
          </cell>
        </row>
        <row r="3">
          <cell r="T3" t="str">
            <v>Total Bag</v>
          </cell>
          <cell r="U3" t="str">
            <v>BPA-Bag
On
Spec</v>
          </cell>
          <cell r="V3" t="str">
            <v>BPA-Bag Off Spec</v>
          </cell>
          <cell r="AF3" t="str">
            <v>Total Bag</v>
          </cell>
        </row>
        <row r="10">
          <cell r="T10" t="str">
            <v>Bag of BPA</v>
          </cell>
          <cell r="U10" t="str">
            <v>on spec</v>
          </cell>
          <cell r="V10" t="str">
            <v>off spec</v>
          </cell>
          <cell r="AF10" t="str">
            <v>Sale</v>
          </cell>
        </row>
        <row r="11">
          <cell r="T11">
            <v>2988.0750000000003</v>
          </cell>
          <cell r="U11">
            <v>2703</v>
          </cell>
          <cell r="V11">
            <v>285.0750000000001</v>
          </cell>
          <cell r="AF11">
            <v>0</v>
          </cell>
        </row>
        <row r="12">
          <cell r="T12">
            <v>2988.0749999999998</v>
          </cell>
          <cell r="U12">
            <v>2703</v>
          </cell>
          <cell r="V12">
            <v>285.07499999999999</v>
          </cell>
          <cell r="AF12">
            <v>0</v>
          </cell>
        </row>
        <row r="13">
          <cell r="T13">
            <v>2598.0749999999998</v>
          </cell>
          <cell r="U13">
            <v>2313</v>
          </cell>
          <cell r="V13">
            <v>285.07499999999999</v>
          </cell>
          <cell r="AF13">
            <v>390</v>
          </cell>
        </row>
        <row r="14">
          <cell r="T14">
            <v>2598.0749999999998</v>
          </cell>
          <cell r="U14">
            <v>2313</v>
          </cell>
          <cell r="V14">
            <v>285.07499999999999</v>
          </cell>
          <cell r="AF14">
            <v>0</v>
          </cell>
        </row>
        <row r="15">
          <cell r="T15">
            <v>2598.0749999999998</v>
          </cell>
          <cell r="U15">
            <v>2313</v>
          </cell>
          <cell r="V15">
            <v>285.07499999999999</v>
          </cell>
          <cell r="AF15">
            <v>0</v>
          </cell>
        </row>
        <row r="16">
          <cell r="T16">
            <v>2598.0749999999998</v>
          </cell>
          <cell r="U16">
            <v>2313</v>
          </cell>
          <cell r="V16">
            <v>285.07499999999999</v>
          </cell>
          <cell r="AF16">
            <v>0</v>
          </cell>
        </row>
        <row r="17">
          <cell r="T17">
            <v>2088.0749999999998</v>
          </cell>
          <cell r="U17">
            <v>1803</v>
          </cell>
          <cell r="V17">
            <v>285.07499999999999</v>
          </cell>
          <cell r="AF17">
            <v>510</v>
          </cell>
        </row>
        <row r="18">
          <cell r="T18">
            <v>2088.0749999999998</v>
          </cell>
          <cell r="U18">
            <v>1803</v>
          </cell>
          <cell r="V18">
            <v>285.07499999999999</v>
          </cell>
          <cell r="AF18">
            <v>0</v>
          </cell>
        </row>
        <row r="19">
          <cell r="T19">
            <v>2088.0749999999998</v>
          </cell>
          <cell r="U19">
            <v>1803</v>
          </cell>
          <cell r="V19">
            <v>285.07499999999999</v>
          </cell>
          <cell r="AF19">
            <v>0</v>
          </cell>
        </row>
        <row r="20">
          <cell r="T20">
            <v>2088.0749999999998</v>
          </cell>
          <cell r="U20">
            <v>1803</v>
          </cell>
          <cell r="V20">
            <v>285.07499999999999</v>
          </cell>
          <cell r="AF20">
            <v>0</v>
          </cell>
        </row>
        <row r="21">
          <cell r="T21">
            <v>2088.0749999999998</v>
          </cell>
          <cell r="U21">
            <v>1803</v>
          </cell>
          <cell r="V21">
            <v>285.07499999999999</v>
          </cell>
          <cell r="AF21">
            <v>0</v>
          </cell>
        </row>
        <row r="22">
          <cell r="T22">
            <v>2088.0749999999998</v>
          </cell>
          <cell r="U22">
            <v>1803</v>
          </cell>
          <cell r="V22">
            <v>285.07499999999999</v>
          </cell>
          <cell r="AF22">
            <v>0</v>
          </cell>
        </row>
        <row r="23">
          <cell r="T23">
            <v>1173.075</v>
          </cell>
          <cell r="U23">
            <v>888</v>
          </cell>
          <cell r="V23">
            <v>285.07499999999999</v>
          </cell>
          <cell r="AF23">
            <v>915</v>
          </cell>
        </row>
        <row r="24">
          <cell r="T24">
            <v>1173.075</v>
          </cell>
          <cell r="U24">
            <v>888</v>
          </cell>
          <cell r="V24">
            <v>285.07499999999999</v>
          </cell>
          <cell r="AF24">
            <v>0</v>
          </cell>
        </row>
        <row r="25">
          <cell r="T25">
            <v>1173.075</v>
          </cell>
          <cell r="U25">
            <v>888</v>
          </cell>
          <cell r="V25">
            <v>285.07499999999999</v>
          </cell>
          <cell r="AF25">
            <v>0</v>
          </cell>
        </row>
        <row r="26">
          <cell r="T26">
            <v>1173.075</v>
          </cell>
          <cell r="U26">
            <v>888</v>
          </cell>
          <cell r="V26">
            <v>285.07499999999999</v>
          </cell>
          <cell r="AF26">
            <v>0</v>
          </cell>
        </row>
        <row r="27">
          <cell r="T27">
            <v>1180.575</v>
          </cell>
          <cell r="U27">
            <v>693</v>
          </cell>
          <cell r="V27">
            <v>487.57499999999999</v>
          </cell>
          <cell r="AF27">
            <v>195</v>
          </cell>
        </row>
        <row r="28">
          <cell r="T28">
            <v>1534.575</v>
          </cell>
          <cell r="U28">
            <v>1024.5</v>
          </cell>
          <cell r="V28">
            <v>510.07499999999999</v>
          </cell>
          <cell r="AF28">
            <v>0</v>
          </cell>
        </row>
        <row r="29">
          <cell r="T29">
            <v>1968.075</v>
          </cell>
          <cell r="U29">
            <v>1458</v>
          </cell>
          <cell r="V29">
            <v>510.07499999999999</v>
          </cell>
          <cell r="AF29">
            <v>0</v>
          </cell>
        </row>
        <row r="30">
          <cell r="T30">
            <v>2332.5749999999998</v>
          </cell>
          <cell r="U30">
            <v>1822.5</v>
          </cell>
          <cell r="V30">
            <v>510.07499999999999</v>
          </cell>
          <cell r="AF30">
            <v>0</v>
          </cell>
        </row>
        <row r="31">
          <cell r="T31">
            <v>1447.575</v>
          </cell>
          <cell r="U31">
            <v>937.5</v>
          </cell>
          <cell r="V31">
            <v>510.07499999999999</v>
          </cell>
          <cell r="AF31">
            <v>1020</v>
          </cell>
        </row>
        <row r="32">
          <cell r="T32">
            <v>1885.575</v>
          </cell>
          <cell r="U32">
            <v>1375.5</v>
          </cell>
          <cell r="V32">
            <v>510.07499999999999</v>
          </cell>
          <cell r="AF32">
            <v>0</v>
          </cell>
        </row>
        <row r="33">
          <cell r="T33">
            <v>1773.075</v>
          </cell>
          <cell r="U33">
            <v>1263</v>
          </cell>
          <cell r="V33">
            <v>510.07499999999999</v>
          </cell>
          <cell r="AF33">
            <v>510</v>
          </cell>
        </row>
        <row r="34">
          <cell r="T34">
            <v>2194.5749999999998</v>
          </cell>
          <cell r="U34">
            <v>1684.5</v>
          </cell>
          <cell r="V34">
            <v>510.07499999999999</v>
          </cell>
          <cell r="AF34">
            <v>0</v>
          </cell>
        </row>
        <row r="35">
          <cell r="T35">
            <v>2614.5749999999998</v>
          </cell>
          <cell r="U35">
            <v>2103.75</v>
          </cell>
          <cell r="V35">
            <v>510.82499999999999</v>
          </cell>
          <cell r="AF35">
            <v>0</v>
          </cell>
        </row>
        <row r="36">
          <cell r="T36">
            <v>3058.5749999999998</v>
          </cell>
          <cell r="U36">
            <v>2324.25</v>
          </cell>
          <cell r="V36">
            <v>734.32500000000005</v>
          </cell>
          <cell r="AF36">
            <v>0</v>
          </cell>
        </row>
        <row r="37">
          <cell r="T37">
            <v>3491.3249999999998</v>
          </cell>
          <cell r="U37">
            <v>2754.75</v>
          </cell>
          <cell r="V37">
            <v>736.57500000000005</v>
          </cell>
          <cell r="AF37">
            <v>0</v>
          </cell>
        </row>
        <row r="38">
          <cell r="T38">
            <v>2174.3249999999998</v>
          </cell>
          <cell r="U38">
            <v>1437.75</v>
          </cell>
          <cell r="V38">
            <v>736.57500000000005</v>
          </cell>
          <cell r="AF38">
            <v>1770</v>
          </cell>
        </row>
        <row r="39">
          <cell r="T39">
            <v>2573.3249999999998</v>
          </cell>
          <cell r="U39">
            <v>1836.75</v>
          </cell>
          <cell r="V39">
            <v>736.57500000000005</v>
          </cell>
          <cell r="AF39">
            <v>0</v>
          </cell>
        </row>
        <row r="40">
          <cell r="T40">
            <v>2684.3249999999998</v>
          </cell>
          <cell r="U40">
            <v>1947.75</v>
          </cell>
          <cell r="V40">
            <v>736.57500000000005</v>
          </cell>
          <cell r="AF40">
            <v>300</v>
          </cell>
        </row>
        <row r="41">
          <cell r="T41">
            <v>3134.3249999999998</v>
          </cell>
          <cell r="U41">
            <v>2397</v>
          </cell>
          <cell r="V41">
            <v>737.32500000000005</v>
          </cell>
          <cell r="AF41">
            <v>0</v>
          </cell>
        </row>
        <row r="42">
          <cell r="T42">
            <v>2722.5749999999998</v>
          </cell>
          <cell r="U42">
            <v>1985.25</v>
          </cell>
          <cell r="V42">
            <v>737.32500000000005</v>
          </cell>
          <cell r="AF42">
            <v>510</v>
          </cell>
        </row>
        <row r="43">
          <cell r="T43">
            <v>2752.5749999999998</v>
          </cell>
          <cell r="U43">
            <v>2015.25</v>
          </cell>
          <cell r="V43">
            <v>737.32500000000005</v>
          </cell>
          <cell r="AF43">
            <v>0</v>
          </cell>
        </row>
        <row r="44">
          <cell r="T44">
            <v>2452.5749999999998</v>
          </cell>
          <cell r="U44">
            <v>1715.25</v>
          </cell>
          <cell r="V44">
            <v>737.32500000000005</v>
          </cell>
          <cell r="AF44">
            <v>300</v>
          </cell>
        </row>
        <row r="45">
          <cell r="T45">
            <v>892.57500000000005</v>
          </cell>
          <cell r="U45">
            <v>450</v>
          </cell>
          <cell r="V45">
            <v>442.57500000000005</v>
          </cell>
          <cell r="AF45">
            <v>1560</v>
          </cell>
        </row>
        <row r="46">
          <cell r="T46">
            <v>892.57500000000005</v>
          </cell>
          <cell r="U46">
            <v>450</v>
          </cell>
          <cell r="V46">
            <v>442.57500000000005</v>
          </cell>
          <cell r="AF46">
            <v>0</v>
          </cell>
        </row>
        <row r="47">
          <cell r="T47">
            <v>892.57500000000005</v>
          </cell>
          <cell r="U47">
            <v>450</v>
          </cell>
          <cell r="V47">
            <v>442.57500000000005</v>
          </cell>
          <cell r="AF47">
            <v>0</v>
          </cell>
        </row>
        <row r="48">
          <cell r="T48">
            <v>592.57500000000005</v>
          </cell>
          <cell r="U48">
            <v>150</v>
          </cell>
          <cell r="V48">
            <v>442.57500000000005</v>
          </cell>
          <cell r="AF48">
            <v>300</v>
          </cell>
        </row>
        <row r="49">
          <cell r="T49">
            <v>442.57500000000005</v>
          </cell>
          <cell r="U49">
            <v>0</v>
          </cell>
          <cell r="V49">
            <v>442.57500000000005</v>
          </cell>
          <cell r="AF49">
            <v>150</v>
          </cell>
        </row>
        <row r="50">
          <cell r="T50">
            <v>442.57500000000005</v>
          </cell>
          <cell r="U50">
            <v>0</v>
          </cell>
          <cell r="V50">
            <v>442.57500000000005</v>
          </cell>
          <cell r="AF50">
            <v>0</v>
          </cell>
        </row>
        <row r="51">
          <cell r="T51">
            <v>442.57500000000005</v>
          </cell>
          <cell r="U51">
            <v>0</v>
          </cell>
          <cell r="V51">
            <v>442.57500000000005</v>
          </cell>
          <cell r="AF51">
            <v>0</v>
          </cell>
        </row>
        <row r="52">
          <cell r="T52">
            <v>442.57500000000005</v>
          </cell>
          <cell r="U52">
            <v>0</v>
          </cell>
          <cell r="V52">
            <v>442.57500000000005</v>
          </cell>
          <cell r="AF52">
            <v>0</v>
          </cell>
        </row>
        <row r="53">
          <cell r="T53">
            <v>442.57500000000005</v>
          </cell>
          <cell r="U53">
            <v>0</v>
          </cell>
          <cell r="V53">
            <v>442.57500000000005</v>
          </cell>
          <cell r="AF53">
            <v>0</v>
          </cell>
        </row>
        <row r="54">
          <cell r="T54">
            <v>442.57500000000005</v>
          </cell>
          <cell r="U54">
            <v>0</v>
          </cell>
          <cell r="V54">
            <v>442.57500000000005</v>
          </cell>
          <cell r="AF54">
            <v>0</v>
          </cell>
        </row>
        <row r="55">
          <cell r="T55">
            <v>442.57500000000005</v>
          </cell>
          <cell r="U55">
            <v>0</v>
          </cell>
          <cell r="V55">
            <v>442.57500000000005</v>
          </cell>
          <cell r="AF55">
            <v>0</v>
          </cell>
        </row>
        <row r="56">
          <cell r="T56">
            <v>442.57500000000005</v>
          </cell>
          <cell r="U56">
            <v>0</v>
          </cell>
          <cell r="V56">
            <v>442.57500000000005</v>
          </cell>
          <cell r="AF56">
            <v>0</v>
          </cell>
        </row>
        <row r="57">
          <cell r="T57">
            <v>442.57500000000005</v>
          </cell>
          <cell r="U57">
            <v>0</v>
          </cell>
          <cell r="V57">
            <v>442.57500000000005</v>
          </cell>
          <cell r="AF57">
            <v>0</v>
          </cell>
        </row>
        <row r="58">
          <cell r="T58">
            <v>442.57500000000005</v>
          </cell>
          <cell r="U58">
            <v>0</v>
          </cell>
          <cell r="V58">
            <v>442.57500000000005</v>
          </cell>
          <cell r="AF58">
            <v>0</v>
          </cell>
        </row>
        <row r="59">
          <cell r="T59">
            <v>472.57500000000005</v>
          </cell>
          <cell r="U59">
            <v>30</v>
          </cell>
          <cell r="V59">
            <v>442.57500000000005</v>
          </cell>
          <cell r="AF59">
            <v>0</v>
          </cell>
        </row>
        <row r="60">
          <cell r="T60">
            <v>582.07500000000005</v>
          </cell>
          <cell r="U60">
            <v>139.5</v>
          </cell>
          <cell r="V60">
            <v>442.57500000000005</v>
          </cell>
          <cell r="AF60">
            <v>0</v>
          </cell>
        </row>
        <row r="61">
          <cell r="T61">
            <v>582.07500000000005</v>
          </cell>
          <cell r="U61">
            <v>139.5</v>
          </cell>
          <cell r="V61">
            <v>442.57500000000005</v>
          </cell>
          <cell r="AF61">
            <v>0</v>
          </cell>
        </row>
        <row r="62">
          <cell r="T62">
            <v>582.07500000000005</v>
          </cell>
          <cell r="U62">
            <v>139.5</v>
          </cell>
          <cell r="V62">
            <v>442.57500000000005</v>
          </cell>
          <cell r="AF62">
            <v>0</v>
          </cell>
        </row>
        <row r="63">
          <cell r="T63">
            <v>582.07500000000005</v>
          </cell>
          <cell r="U63">
            <v>139.5</v>
          </cell>
          <cell r="V63">
            <v>442.57500000000005</v>
          </cell>
          <cell r="AF63">
            <v>0</v>
          </cell>
        </row>
        <row r="64">
          <cell r="T64">
            <v>582.07500000000005</v>
          </cell>
          <cell r="U64">
            <v>139.5</v>
          </cell>
          <cell r="V64">
            <v>442.57500000000005</v>
          </cell>
          <cell r="AF64">
            <v>0</v>
          </cell>
        </row>
        <row r="65">
          <cell r="T65">
            <v>582.07500000000005</v>
          </cell>
          <cell r="U65">
            <v>139.5</v>
          </cell>
          <cell r="V65">
            <v>442.57500000000005</v>
          </cell>
          <cell r="AF65">
            <v>0</v>
          </cell>
        </row>
        <row r="66">
          <cell r="T66">
            <v>582.07500000000005</v>
          </cell>
          <cell r="U66">
            <v>139.5</v>
          </cell>
          <cell r="V66">
            <v>442.57500000000005</v>
          </cell>
          <cell r="AF66">
            <v>0</v>
          </cell>
        </row>
        <row r="67">
          <cell r="T67">
            <v>882.07500000000005</v>
          </cell>
          <cell r="U67">
            <v>439.5</v>
          </cell>
          <cell r="V67">
            <v>442.57500000000005</v>
          </cell>
          <cell r="AF67">
            <v>0</v>
          </cell>
        </row>
        <row r="68">
          <cell r="T68">
            <v>1220.325</v>
          </cell>
          <cell r="U68">
            <v>777.75</v>
          </cell>
          <cell r="V68">
            <v>442.57500000000005</v>
          </cell>
          <cell r="AF68">
            <v>0</v>
          </cell>
        </row>
        <row r="69">
          <cell r="T69">
            <v>1305.075</v>
          </cell>
          <cell r="U69">
            <v>862.5</v>
          </cell>
          <cell r="V69">
            <v>442.57500000000005</v>
          </cell>
          <cell r="AF69">
            <v>210</v>
          </cell>
        </row>
        <row r="70">
          <cell r="T70">
            <v>1027.575</v>
          </cell>
          <cell r="U70">
            <v>585</v>
          </cell>
          <cell r="V70">
            <v>442.57500000000005</v>
          </cell>
          <cell r="AF70">
            <v>390</v>
          </cell>
        </row>
        <row r="71">
          <cell r="T71">
            <v>1065.075</v>
          </cell>
          <cell r="U71">
            <v>622.5</v>
          </cell>
          <cell r="V71">
            <v>442.57500000000005</v>
          </cell>
          <cell r="AF71">
            <v>0</v>
          </cell>
        </row>
        <row r="72">
          <cell r="T72">
            <v>1293.075</v>
          </cell>
          <cell r="U72">
            <v>850.5</v>
          </cell>
          <cell r="V72">
            <v>442.57500000000005</v>
          </cell>
          <cell r="AF72">
            <v>0</v>
          </cell>
        </row>
        <row r="73">
          <cell r="T73">
            <v>981.07500000000005</v>
          </cell>
          <cell r="U73">
            <v>538.5</v>
          </cell>
          <cell r="V73">
            <v>442.57500000000005</v>
          </cell>
          <cell r="AF73">
            <v>510</v>
          </cell>
        </row>
        <row r="74">
          <cell r="T74">
            <v>1253.325</v>
          </cell>
          <cell r="U74">
            <v>810</v>
          </cell>
          <cell r="V74">
            <v>443.32500000000005</v>
          </cell>
          <cell r="AF74">
            <v>0</v>
          </cell>
        </row>
        <row r="75">
          <cell r="T75">
            <v>1493.325</v>
          </cell>
          <cell r="U75">
            <v>1050</v>
          </cell>
          <cell r="V75">
            <v>443.32500000000005</v>
          </cell>
          <cell r="AF75">
            <v>0</v>
          </cell>
        </row>
        <row r="76">
          <cell r="T76">
            <v>1737.825</v>
          </cell>
          <cell r="U76">
            <v>1294.5</v>
          </cell>
          <cell r="V76">
            <v>443.32500000000005</v>
          </cell>
          <cell r="AF76">
            <v>0</v>
          </cell>
        </row>
        <row r="77">
          <cell r="T77">
            <v>2003.325</v>
          </cell>
          <cell r="U77">
            <v>1560</v>
          </cell>
          <cell r="V77">
            <v>443.32500000000005</v>
          </cell>
          <cell r="AF77">
            <v>0</v>
          </cell>
        </row>
        <row r="78">
          <cell r="T78">
            <v>2243.3249999999998</v>
          </cell>
          <cell r="U78">
            <v>1800</v>
          </cell>
          <cell r="V78">
            <v>443.32500000000005</v>
          </cell>
          <cell r="AF78">
            <v>0</v>
          </cell>
        </row>
        <row r="79">
          <cell r="T79">
            <v>2138.3249999999998</v>
          </cell>
          <cell r="U79">
            <v>1695</v>
          </cell>
          <cell r="V79">
            <v>443.32500000000005</v>
          </cell>
          <cell r="AF79">
            <v>360</v>
          </cell>
        </row>
        <row r="80">
          <cell r="T80">
            <v>1323.825</v>
          </cell>
          <cell r="U80">
            <v>880.5</v>
          </cell>
          <cell r="V80">
            <v>443.32500000000005</v>
          </cell>
          <cell r="AF80">
            <v>1035</v>
          </cell>
        </row>
        <row r="81">
          <cell r="T81">
            <v>1592.325</v>
          </cell>
          <cell r="U81">
            <v>1149</v>
          </cell>
          <cell r="V81">
            <v>443.32500000000005</v>
          </cell>
          <cell r="AF81">
            <v>0</v>
          </cell>
        </row>
        <row r="82">
          <cell r="T82">
            <v>1832.325</v>
          </cell>
          <cell r="U82">
            <v>1389</v>
          </cell>
          <cell r="V82">
            <v>443.32500000000005</v>
          </cell>
          <cell r="AF82">
            <v>0</v>
          </cell>
        </row>
        <row r="83">
          <cell r="T83">
            <v>2032.575</v>
          </cell>
          <cell r="U83">
            <v>1589.25</v>
          </cell>
          <cell r="V83">
            <v>443.32500000000005</v>
          </cell>
          <cell r="AF83">
            <v>0</v>
          </cell>
        </row>
        <row r="84">
          <cell r="T84">
            <v>1732.575</v>
          </cell>
          <cell r="U84">
            <v>1289.25</v>
          </cell>
          <cell r="V84">
            <v>443.32500000000005</v>
          </cell>
          <cell r="AF84">
            <v>300</v>
          </cell>
        </row>
        <row r="85">
          <cell r="T85">
            <v>1732.575</v>
          </cell>
          <cell r="U85">
            <v>1289.25</v>
          </cell>
          <cell r="V85">
            <v>443.32500000000005</v>
          </cell>
          <cell r="AF85">
            <v>0</v>
          </cell>
        </row>
        <row r="86">
          <cell r="T86">
            <v>1522.575</v>
          </cell>
          <cell r="U86">
            <v>1079.25</v>
          </cell>
          <cell r="V86">
            <v>443.32500000000005</v>
          </cell>
          <cell r="AF86">
            <v>210</v>
          </cell>
        </row>
        <row r="87">
          <cell r="T87">
            <v>157.57500000000005</v>
          </cell>
          <cell r="U87">
            <v>0</v>
          </cell>
          <cell r="V87">
            <v>157.57500000000005</v>
          </cell>
          <cell r="AF87">
            <v>1365</v>
          </cell>
        </row>
        <row r="88">
          <cell r="T88">
            <v>157.57500000000005</v>
          </cell>
          <cell r="U88">
            <v>0</v>
          </cell>
          <cell r="V88">
            <v>157.57500000000005</v>
          </cell>
          <cell r="AF88">
            <v>0</v>
          </cell>
        </row>
        <row r="89">
          <cell r="T89">
            <v>157.57500000000005</v>
          </cell>
          <cell r="U89">
            <v>0</v>
          </cell>
          <cell r="V89">
            <v>157.57500000000005</v>
          </cell>
          <cell r="AF89">
            <v>0</v>
          </cell>
        </row>
        <row r="90">
          <cell r="T90">
            <v>157.57500000000005</v>
          </cell>
          <cell r="U90">
            <v>0</v>
          </cell>
          <cell r="V90">
            <v>157.57500000000005</v>
          </cell>
          <cell r="AF90">
            <v>0</v>
          </cell>
        </row>
        <row r="91">
          <cell r="T91">
            <v>157.57500000000005</v>
          </cell>
          <cell r="U91">
            <v>0</v>
          </cell>
          <cell r="V91">
            <v>157.57500000000005</v>
          </cell>
          <cell r="AF91">
            <v>0</v>
          </cell>
        </row>
        <row r="92">
          <cell r="T92">
            <v>157.57500000000005</v>
          </cell>
          <cell r="U92">
            <v>0</v>
          </cell>
          <cell r="V92">
            <v>157.57500000000005</v>
          </cell>
          <cell r="AF92">
            <v>0</v>
          </cell>
        </row>
        <row r="93">
          <cell r="T93">
            <v>157.57500000000005</v>
          </cell>
          <cell r="U93">
            <v>0</v>
          </cell>
          <cell r="V93">
            <v>157.57500000000005</v>
          </cell>
          <cell r="AF93">
            <v>0</v>
          </cell>
        </row>
        <row r="94">
          <cell r="T94">
            <v>157.57500000000005</v>
          </cell>
          <cell r="U94">
            <v>0</v>
          </cell>
          <cell r="V94">
            <v>157.57500000000005</v>
          </cell>
          <cell r="AF94">
            <v>0</v>
          </cell>
        </row>
        <row r="95">
          <cell r="T95">
            <v>157.57500000000005</v>
          </cell>
          <cell r="U95">
            <v>0</v>
          </cell>
          <cell r="V95">
            <v>157.57500000000005</v>
          </cell>
          <cell r="AF95">
            <v>0</v>
          </cell>
        </row>
        <row r="96">
          <cell r="T96">
            <v>157.57500000000005</v>
          </cell>
          <cell r="U96">
            <v>0</v>
          </cell>
          <cell r="V96">
            <v>157.57500000000005</v>
          </cell>
          <cell r="AF96">
            <v>0</v>
          </cell>
        </row>
        <row r="97">
          <cell r="T97">
            <v>157.57500000000005</v>
          </cell>
          <cell r="U97">
            <v>0</v>
          </cell>
          <cell r="V97">
            <v>157.57500000000005</v>
          </cell>
          <cell r="AF97">
            <v>0</v>
          </cell>
        </row>
        <row r="98">
          <cell r="T98">
            <v>157.57500000000005</v>
          </cell>
          <cell r="U98">
            <v>0</v>
          </cell>
          <cell r="V98">
            <v>157.57500000000005</v>
          </cell>
          <cell r="AF98">
            <v>0</v>
          </cell>
        </row>
        <row r="99">
          <cell r="T99">
            <v>157.57500000000005</v>
          </cell>
          <cell r="U99">
            <v>0</v>
          </cell>
          <cell r="V99">
            <v>157.57500000000005</v>
          </cell>
          <cell r="AF99">
            <v>0</v>
          </cell>
        </row>
        <row r="100">
          <cell r="T100">
            <v>157.57500000000005</v>
          </cell>
          <cell r="U100">
            <v>0</v>
          </cell>
          <cell r="V100">
            <v>157.57500000000005</v>
          </cell>
          <cell r="AF100">
            <v>0</v>
          </cell>
        </row>
        <row r="101">
          <cell r="T101">
            <v>157.57500000000005</v>
          </cell>
          <cell r="U101">
            <v>0</v>
          </cell>
          <cell r="V101">
            <v>157.57500000000005</v>
          </cell>
          <cell r="AF101">
            <v>0</v>
          </cell>
        </row>
        <row r="102">
          <cell r="T102">
            <v>157.57500000000005</v>
          </cell>
          <cell r="U102">
            <v>0</v>
          </cell>
          <cell r="V102">
            <v>157.57500000000005</v>
          </cell>
          <cell r="AF102">
            <v>0</v>
          </cell>
        </row>
        <row r="103">
          <cell r="T103">
            <v>157.57500000000005</v>
          </cell>
          <cell r="U103">
            <v>0</v>
          </cell>
          <cell r="V103">
            <v>157.57500000000005</v>
          </cell>
          <cell r="AF103">
            <v>0</v>
          </cell>
          <cell r="AN103">
            <v>41000</v>
          </cell>
          <cell r="AO103">
            <v>8544585</v>
          </cell>
          <cell r="AP103">
            <v>22.216205596923828</v>
          </cell>
          <cell r="AQ103">
            <v>74.977714538574219</v>
          </cell>
          <cell r="AR103">
            <v>2741478.25</v>
          </cell>
          <cell r="AS103">
            <v>50.682373046875</v>
          </cell>
          <cell r="AT103">
            <v>30.012460708618164</v>
          </cell>
          <cell r="AU103">
            <v>1458.8165283628746</v>
          </cell>
          <cell r="AV103">
            <v>17.769458770751953</v>
          </cell>
          <cell r="AW103">
            <v>8.5487174987792969</v>
          </cell>
          <cell r="AX103">
            <v>7.8895015716552734</v>
          </cell>
          <cell r="AY103">
            <v>0</v>
          </cell>
          <cell r="AZ103">
            <v>-1.872512511909008E-2</v>
          </cell>
          <cell r="BA103">
            <v>-1.179245300590992E-2</v>
          </cell>
          <cell r="BB103">
            <v>-1.5063016675412655E-2</v>
          </cell>
          <cell r="BC103">
            <v>-7.2559647262096405E-2</v>
          </cell>
          <cell r="BD103">
            <v>46.801784515380859</v>
          </cell>
          <cell r="BE103">
            <v>87.857948303222656</v>
          </cell>
          <cell r="BF103">
            <v>88.149696350097656</v>
          </cell>
          <cell r="BG103">
            <v>83.822479248046875</v>
          </cell>
          <cell r="BH103">
            <v>61.306838989257813</v>
          </cell>
          <cell r="BI103">
            <v>74.620811462402344</v>
          </cell>
          <cell r="BL103">
            <v>92.012441993819337</v>
          </cell>
          <cell r="BM103">
            <v>8.3808117409769317E-2</v>
          </cell>
          <cell r="BN103">
            <v>40.912525177001953</v>
          </cell>
          <cell r="BO103">
            <v>40.095054626464844</v>
          </cell>
          <cell r="BP103">
            <v>140.44355773925781</v>
          </cell>
          <cell r="BQ103">
            <v>40.811752319335938</v>
          </cell>
          <cell r="BR103">
            <v>29.832094192504883</v>
          </cell>
          <cell r="BS103">
            <v>0</v>
          </cell>
          <cell r="BT103">
            <v>56.963287353515625</v>
          </cell>
          <cell r="BU103">
            <v>28.654132843017578</v>
          </cell>
          <cell r="BV103">
            <v>364.35129871487561</v>
          </cell>
          <cell r="BW103">
            <v>72.960197448730469</v>
          </cell>
          <cell r="BX103">
            <v>29.359560012817383</v>
          </cell>
          <cell r="BY103">
            <v>1.8347618565710009</v>
          </cell>
          <cell r="BZ103">
            <v>474.99355393480374</v>
          </cell>
          <cell r="CA103">
            <v>1177.9190579548588</v>
          </cell>
          <cell r="CB103">
            <v>38.773683159179157</v>
          </cell>
          <cell r="CC103">
            <v>33.952638158802635</v>
          </cell>
          <cell r="CD103">
            <v>12.370613287072063</v>
          </cell>
        </row>
        <row r="104">
          <cell r="T104">
            <v>157.57500000000005</v>
          </cell>
          <cell r="U104">
            <v>0</v>
          </cell>
          <cell r="V104">
            <v>157.57500000000005</v>
          </cell>
          <cell r="AF104">
            <v>0</v>
          </cell>
          <cell r="AN104">
            <v>41001</v>
          </cell>
          <cell r="AO104">
            <v>8698321</v>
          </cell>
          <cell r="AP104">
            <v>22.856113433837891</v>
          </cell>
          <cell r="AQ104">
            <v>74.86944580078125</v>
          </cell>
          <cell r="AR104">
            <v>2741478.25</v>
          </cell>
          <cell r="AS104">
            <v>41.9921875</v>
          </cell>
          <cell r="AT104">
            <v>30.340930938720703</v>
          </cell>
          <cell r="AU104">
            <v>139.92001192658037</v>
          </cell>
          <cell r="AV104">
            <v>17.500778198242188</v>
          </cell>
          <cell r="AW104">
            <v>8.6023359298706055</v>
          </cell>
          <cell r="AX104">
            <v>8.1404523849487305</v>
          </cell>
          <cell r="AY104">
            <v>0</v>
          </cell>
          <cell r="AZ104">
            <v>-1.872512511909008E-2</v>
          </cell>
          <cell r="BA104">
            <v>-1.179245300590992E-2</v>
          </cell>
          <cell r="BB104">
            <v>-1.5063016675412655E-2</v>
          </cell>
          <cell r="BC104">
            <v>-7.2559647262096405E-2</v>
          </cell>
          <cell r="BD104">
            <v>35.715377807617188</v>
          </cell>
          <cell r="BE104">
            <v>93.27716064453125</v>
          </cell>
          <cell r="BF104">
            <v>88.707672119140625</v>
          </cell>
          <cell r="BG104">
            <v>87.420669555664062</v>
          </cell>
          <cell r="BH104">
            <v>61.292236328125</v>
          </cell>
          <cell r="BI104">
            <v>78.010246276855469</v>
          </cell>
          <cell r="BL104">
            <v>103.95078475784372</v>
          </cell>
          <cell r="BM104">
            <v>1.8454874598601898E-16</v>
          </cell>
          <cell r="BN104">
            <v>40.860679626464844</v>
          </cell>
          <cell r="BO104">
            <v>40.051494598388672</v>
          </cell>
          <cell r="BP104">
            <v>141.23701477050781</v>
          </cell>
          <cell r="BQ104">
            <v>40.832012176513672</v>
          </cell>
          <cell r="BR104">
            <v>30.682121276855469</v>
          </cell>
          <cell r="BS104">
            <v>0</v>
          </cell>
          <cell r="BT104">
            <v>57.017337799072266</v>
          </cell>
          <cell r="BU104">
            <v>29.413894653320312</v>
          </cell>
          <cell r="BV104">
            <v>272.97492096565446</v>
          </cell>
          <cell r="BW104">
            <v>73.350433349609375</v>
          </cell>
          <cell r="BX104">
            <v>29.835126876831055</v>
          </cell>
          <cell r="BY104">
            <v>0.30752482507680501</v>
          </cell>
          <cell r="BZ104">
            <v>434.88896925050238</v>
          </cell>
          <cell r="CA104">
            <v>1128.8745771666634</v>
          </cell>
          <cell r="CB104">
            <v>39.850226715569143</v>
          </cell>
          <cell r="CC104">
            <v>33.060759093805594</v>
          </cell>
          <cell r="CD104">
            <v>18.563946454300925</v>
          </cell>
        </row>
        <row r="105">
          <cell r="T105">
            <v>157.57500000000005</v>
          </cell>
          <cell r="U105">
            <v>0</v>
          </cell>
          <cell r="V105">
            <v>157.57500000000005</v>
          </cell>
          <cell r="AF105">
            <v>0</v>
          </cell>
          <cell r="AN105">
            <v>41002</v>
          </cell>
          <cell r="AO105">
            <v>8809190</v>
          </cell>
          <cell r="AP105">
            <v>31.136005401611328</v>
          </cell>
          <cell r="AQ105">
            <v>68.863334655761719</v>
          </cell>
          <cell r="AR105">
            <v>2741478.25</v>
          </cell>
          <cell r="AS105">
            <v>42.188720703125</v>
          </cell>
          <cell r="AT105">
            <v>30.89732551574707</v>
          </cell>
          <cell r="AU105">
            <v>186.86496119198975</v>
          </cell>
          <cell r="AV105">
            <v>17.574296951293945</v>
          </cell>
          <cell r="AW105">
            <v>8.6060056686401367</v>
          </cell>
          <cell r="AX105">
            <v>6.2444305419921875</v>
          </cell>
          <cell r="AY105">
            <v>0</v>
          </cell>
          <cell r="AZ105">
            <v>-1.872512511909008E-2</v>
          </cell>
          <cell r="BA105">
            <v>-1.179245300590992E-2</v>
          </cell>
          <cell r="BB105">
            <v>-1.5063016675412655E-2</v>
          </cell>
          <cell r="BC105">
            <v>-7.2559647262096405E-2</v>
          </cell>
          <cell r="BD105">
            <v>49.870281219482422</v>
          </cell>
          <cell r="BE105">
            <v>77.495506286621094</v>
          </cell>
          <cell r="BF105">
            <v>66.597793579101563</v>
          </cell>
          <cell r="BG105">
            <v>90.519012451171875</v>
          </cell>
          <cell r="BH105">
            <v>66.337799072265625</v>
          </cell>
          <cell r="BI105">
            <v>84.656295776367188</v>
          </cell>
          <cell r="BL105">
            <v>127.54592283346035</v>
          </cell>
          <cell r="BM105">
            <v>1.8454874598601898E-16</v>
          </cell>
          <cell r="BN105">
            <v>40.823005676269531</v>
          </cell>
          <cell r="BO105">
            <v>40.274093627929688</v>
          </cell>
          <cell r="BP105">
            <v>142.03895568847656</v>
          </cell>
          <cell r="BQ105">
            <v>40.722087860107422</v>
          </cell>
          <cell r="BR105">
            <v>31.544586181640625</v>
          </cell>
          <cell r="BS105">
            <v>0</v>
          </cell>
          <cell r="BT105">
            <v>57.048549652099609</v>
          </cell>
          <cell r="BU105">
            <v>30.377779006958008</v>
          </cell>
          <cell r="BV105">
            <v>239.16196317510676</v>
          </cell>
          <cell r="BW105">
            <v>74.206596374511719</v>
          </cell>
          <cell r="BX105">
            <v>30.448474884033203</v>
          </cell>
          <cell r="BY105">
            <v>0.33153790186591658</v>
          </cell>
          <cell r="BZ105">
            <v>442.28678047628</v>
          </cell>
          <cell r="CA105">
            <v>1171.7632092332144</v>
          </cell>
          <cell r="CB105">
            <v>39.646925478820449</v>
          </cell>
          <cell r="CC105">
            <v>33.165426609856112</v>
          </cell>
          <cell r="CD105">
            <v>14.208107810990338</v>
          </cell>
        </row>
        <row r="106">
          <cell r="T106">
            <v>157.57500000000005</v>
          </cell>
          <cell r="U106">
            <v>0</v>
          </cell>
          <cell r="V106">
            <v>157.57500000000005</v>
          </cell>
          <cell r="AF106">
            <v>0</v>
          </cell>
          <cell r="AN106">
            <v>41003</v>
          </cell>
          <cell r="AO106">
            <v>8824320</v>
          </cell>
          <cell r="AP106">
            <v>34.545009613037109</v>
          </cell>
          <cell r="AQ106">
            <v>66.965751647949219</v>
          </cell>
          <cell r="AR106">
            <v>2741478.25</v>
          </cell>
          <cell r="AS106">
            <v>42.19482421875</v>
          </cell>
          <cell r="AT106">
            <v>30.963912963867188</v>
          </cell>
          <cell r="AU106">
            <v>510.9230312086388</v>
          </cell>
          <cell r="AV106">
            <v>17.557048797607422</v>
          </cell>
          <cell r="AW106">
            <v>8.6263217926025391</v>
          </cell>
          <cell r="AX106">
            <v>15.996317863464355</v>
          </cell>
          <cell r="AY106">
            <v>0</v>
          </cell>
          <cell r="AZ106">
            <v>-1.872512511909008E-2</v>
          </cell>
          <cell r="BA106">
            <v>-1.179245300590992E-2</v>
          </cell>
          <cell r="BB106">
            <v>-1.5063016675412655E-2</v>
          </cell>
          <cell r="BC106">
            <v>-7.2559647262096405E-2</v>
          </cell>
          <cell r="BD106">
            <v>49.3531494140625</v>
          </cell>
          <cell r="BE106">
            <v>62.305000305175781</v>
          </cell>
          <cell r="BF106">
            <v>61.607162475585938</v>
          </cell>
          <cell r="BG106">
            <v>94.509628295898437</v>
          </cell>
          <cell r="BH106">
            <v>64.432907104492188</v>
          </cell>
          <cell r="BI106">
            <v>86.423965454101563</v>
          </cell>
          <cell r="BL106">
            <v>60.603576562713691</v>
          </cell>
          <cell r="BM106">
            <v>1.8454874598601898E-16</v>
          </cell>
          <cell r="BN106">
            <v>40.759510040283203</v>
          </cell>
          <cell r="BO106">
            <v>40.130123138427734</v>
          </cell>
          <cell r="BP106">
            <v>142.32719421386719</v>
          </cell>
          <cell r="BQ106">
            <v>40.768913269042969</v>
          </cell>
          <cell r="BR106">
            <v>30.982332229614258</v>
          </cell>
          <cell r="BS106">
            <v>0</v>
          </cell>
          <cell r="BT106">
            <v>57.042331695556641</v>
          </cell>
          <cell r="BU106">
            <v>30.212581634521484</v>
          </cell>
          <cell r="BV106">
            <v>280.37580449606747</v>
          </cell>
          <cell r="BW106">
            <v>74.275856018066406</v>
          </cell>
          <cell r="BX106">
            <v>30.312379837036133</v>
          </cell>
          <cell r="BY106">
            <v>0.33072833467841856</v>
          </cell>
          <cell r="BZ106">
            <v>478.944946498447</v>
          </cell>
          <cell r="CA106">
            <v>1259.8070508671515</v>
          </cell>
          <cell r="CB106">
            <v>46.915663910035732</v>
          </cell>
          <cell r="CC106">
            <v>33.578965073947558</v>
          </cell>
          <cell r="CD106">
            <v>203.38265213411904</v>
          </cell>
        </row>
        <row r="107">
          <cell r="T107">
            <v>157.57500000000005</v>
          </cell>
          <cell r="U107">
            <v>0</v>
          </cell>
          <cell r="V107">
            <v>157.57500000000005</v>
          </cell>
          <cell r="AF107">
            <v>0</v>
          </cell>
          <cell r="AN107">
            <v>41004</v>
          </cell>
          <cell r="AO107">
            <v>8839415</v>
          </cell>
          <cell r="AP107">
            <v>36.540927886962891</v>
          </cell>
          <cell r="AQ107">
            <v>66.202583312988281</v>
          </cell>
          <cell r="AR107">
            <v>2741478.25</v>
          </cell>
          <cell r="AS107">
            <v>42.22412109375</v>
          </cell>
          <cell r="AT107">
            <v>31.425924301147461</v>
          </cell>
          <cell r="AU107">
            <v>149.21447544986231</v>
          </cell>
          <cell r="AV107">
            <v>17.577157974243164</v>
          </cell>
          <cell r="AW107">
            <v>8.5931739807128906</v>
          </cell>
          <cell r="AX107">
            <v>5.3178906440734863</v>
          </cell>
          <cell r="AY107">
            <v>0</v>
          </cell>
          <cell r="AZ107">
            <v>-1.872512511909008E-2</v>
          </cell>
          <cell r="BA107">
            <v>-1.179245300590992E-2</v>
          </cell>
          <cell r="BB107">
            <v>-1.5063016675412655E-2</v>
          </cell>
          <cell r="BC107">
            <v>-7.2559647262096405E-2</v>
          </cell>
          <cell r="BD107">
            <v>16.945318222045898</v>
          </cell>
          <cell r="BE107">
            <v>63.150634765625</v>
          </cell>
          <cell r="BF107">
            <v>59.603031158447266</v>
          </cell>
          <cell r="BG107">
            <v>91.372360229492188</v>
          </cell>
          <cell r="BH107">
            <v>64.292304992675781</v>
          </cell>
          <cell r="BI107">
            <v>83.858154296875</v>
          </cell>
          <cell r="BL107">
            <v>0.19523989580295703</v>
          </cell>
          <cell r="BM107">
            <v>1.8454874598601898E-16</v>
          </cell>
          <cell r="BN107">
            <v>40.742462158203125</v>
          </cell>
          <cell r="BO107">
            <v>40.073024749755859</v>
          </cell>
          <cell r="BP107">
            <v>144.33476257324219</v>
          </cell>
          <cell r="BQ107">
            <v>40.781547546386719</v>
          </cell>
          <cell r="BR107">
            <v>31.513641357421875</v>
          </cell>
          <cell r="BS107">
            <v>0</v>
          </cell>
          <cell r="BT107">
            <v>57.118488311767578</v>
          </cell>
          <cell r="BU107">
            <v>30.790639877319336</v>
          </cell>
          <cell r="BV107">
            <v>223.01054907575568</v>
          </cell>
          <cell r="BW107">
            <v>74.31378173828125</v>
          </cell>
          <cell r="BX107">
            <v>30.680034637451172</v>
          </cell>
          <cell r="BY107">
            <v>0.32171859644195894</v>
          </cell>
          <cell r="BZ107">
            <v>467.12690662309853</v>
          </cell>
          <cell r="CA107">
            <v>1492.9268627788401</v>
          </cell>
          <cell r="CB107">
            <v>63.941397475397139</v>
          </cell>
          <cell r="CC107">
            <v>34.754441173911097</v>
          </cell>
          <cell r="CD107">
            <v>1371.0111742894208</v>
          </cell>
        </row>
        <row r="108">
          <cell r="T108">
            <v>157.57500000000005</v>
          </cell>
          <cell r="U108">
            <v>0</v>
          </cell>
          <cell r="V108">
            <v>157.57500000000005</v>
          </cell>
          <cell r="AF108">
            <v>0</v>
          </cell>
          <cell r="AN108">
            <v>41005</v>
          </cell>
          <cell r="AO108">
            <v>9051347</v>
          </cell>
          <cell r="AP108">
            <v>7.8993139266967773</v>
          </cell>
          <cell r="AQ108">
            <v>64.990089416503906</v>
          </cell>
          <cell r="AR108">
            <v>2741478.25</v>
          </cell>
          <cell r="AS108">
            <v>42.252197265625</v>
          </cell>
          <cell r="AT108">
            <v>31.736337661743164</v>
          </cell>
          <cell r="AU108">
            <v>135.59923265986973</v>
          </cell>
          <cell r="AV108">
            <v>17.531732559204102</v>
          </cell>
          <cell r="AW108">
            <v>8.5802459716796875</v>
          </cell>
          <cell r="AX108">
            <v>4.3137664794921875</v>
          </cell>
          <cell r="AY108">
            <v>0</v>
          </cell>
          <cell r="AZ108">
            <v>-1.872512511909008E-2</v>
          </cell>
          <cell r="BA108">
            <v>-1.179245300590992E-2</v>
          </cell>
          <cell r="BB108">
            <v>-1.5063016675412655E-2</v>
          </cell>
          <cell r="BC108">
            <v>-7.2559647262096405E-2</v>
          </cell>
          <cell r="BD108">
            <v>20.265329360961914</v>
          </cell>
          <cell r="BE108">
            <v>61.968376159667969</v>
          </cell>
          <cell r="BF108">
            <v>79.380744934082031</v>
          </cell>
          <cell r="BG108">
            <v>83.594924926757813</v>
          </cell>
          <cell r="BH108">
            <v>64.168487548828125</v>
          </cell>
          <cell r="BI108">
            <v>81.407508850097656</v>
          </cell>
          <cell r="BL108">
            <v>101.86582309047381</v>
          </cell>
          <cell r="BM108">
            <v>1.8454874598601898E-16</v>
          </cell>
          <cell r="BN108">
            <v>40.700641632080078</v>
          </cell>
          <cell r="BO108">
            <v>40.032390594482422</v>
          </cell>
          <cell r="BP108">
            <v>146.24295043945312</v>
          </cell>
          <cell r="BQ108">
            <v>40.731319427490234</v>
          </cell>
          <cell r="BR108">
            <v>31.781665802001953</v>
          </cell>
          <cell r="BS108">
            <v>0</v>
          </cell>
          <cell r="BT108">
            <v>57.199203491210937</v>
          </cell>
          <cell r="BU108">
            <v>31.453945159912109</v>
          </cell>
          <cell r="BV108">
            <v>197.97394839386965</v>
          </cell>
          <cell r="BW108">
            <v>74.291419982910156</v>
          </cell>
          <cell r="BX108">
            <v>30.827175140380859</v>
          </cell>
          <cell r="BY108">
            <v>0.40072362940700085</v>
          </cell>
          <cell r="BZ108">
            <v>514.85340772815653</v>
          </cell>
          <cell r="CA108">
            <v>1462.55162597409</v>
          </cell>
          <cell r="CB108">
            <v>68.877827302579519</v>
          </cell>
          <cell r="CC108">
            <v>35.756201882719992</v>
          </cell>
          <cell r="CD108">
            <v>3342.1238697562044</v>
          </cell>
        </row>
        <row r="109">
          <cell r="T109">
            <v>157.57500000000005</v>
          </cell>
          <cell r="U109">
            <v>0</v>
          </cell>
          <cell r="V109">
            <v>157.57500000000005</v>
          </cell>
          <cell r="AF109">
            <v>0</v>
          </cell>
          <cell r="AN109">
            <v>41006</v>
          </cell>
          <cell r="AO109">
            <v>9391757</v>
          </cell>
          <cell r="AP109">
            <v>21.186962127685547</v>
          </cell>
          <cell r="AQ109">
            <v>65.398597717285156</v>
          </cell>
          <cell r="AR109">
            <v>2741478.25</v>
          </cell>
          <cell r="AS109">
            <v>42.2802734375</v>
          </cell>
          <cell r="AT109">
            <v>31.838504791259766</v>
          </cell>
          <cell r="AU109">
            <v>91.353844896069276</v>
          </cell>
          <cell r="AV109">
            <v>17.906272888183594</v>
          </cell>
          <cell r="AW109">
            <v>8.5958566665649414</v>
          </cell>
          <cell r="AX109">
            <v>2.0469357967376709</v>
          </cell>
          <cell r="AY109">
            <v>0</v>
          </cell>
          <cell r="AZ109">
            <v>-1.872512511909008E-2</v>
          </cell>
          <cell r="BA109">
            <v>-1.179245300590992E-2</v>
          </cell>
          <cell r="BB109">
            <v>-1.5063016675412655E-2</v>
          </cell>
          <cell r="BC109">
            <v>-7.2559647262096405E-2</v>
          </cell>
          <cell r="BD109">
            <v>21.217653274536133</v>
          </cell>
          <cell r="BE109">
            <v>62.038787841796875</v>
          </cell>
          <cell r="BF109">
            <v>81.121681213378906</v>
          </cell>
          <cell r="BG109">
            <v>83.001312255859375</v>
          </cell>
          <cell r="BH109">
            <v>78.943443298339844</v>
          </cell>
          <cell r="BI109">
            <v>83.840156555175781</v>
          </cell>
          <cell r="BL109">
            <v>47.955399517085816</v>
          </cell>
          <cell r="BM109">
            <v>0.39059887367139479</v>
          </cell>
          <cell r="BN109">
            <v>40.815280914306641</v>
          </cell>
          <cell r="BO109">
            <v>39.305797576904297</v>
          </cell>
          <cell r="BP109">
            <v>162.63519287109375</v>
          </cell>
          <cell r="BQ109">
            <v>40.683124542236328</v>
          </cell>
          <cell r="BR109">
            <v>31.905027389526367</v>
          </cell>
          <cell r="BS109">
            <v>0</v>
          </cell>
          <cell r="BT109">
            <v>57.241565704345703</v>
          </cell>
          <cell r="BU109">
            <v>31.886018753051758</v>
          </cell>
          <cell r="BV109">
            <v>188.573112964019</v>
          </cell>
          <cell r="BW109">
            <v>74.289588928222656</v>
          </cell>
          <cell r="BX109">
            <v>30.899971008300781</v>
          </cell>
          <cell r="BY109">
            <v>1.2337836770853414</v>
          </cell>
          <cell r="BZ109">
            <v>631.24385591030125</v>
          </cell>
          <cell r="CA109">
            <v>1649.2797417609604</v>
          </cell>
          <cell r="CB109">
            <v>72.524005918052467</v>
          </cell>
          <cell r="CC109">
            <v>36.929586055305265</v>
          </cell>
          <cell r="CD109">
            <v>4076.2023185899525</v>
          </cell>
        </row>
        <row r="110">
          <cell r="T110">
            <v>157.57500000000005</v>
          </cell>
          <cell r="U110">
            <v>0</v>
          </cell>
          <cell r="V110">
            <v>157.57500000000005</v>
          </cell>
          <cell r="AF110">
            <v>0</v>
          </cell>
          <cell r="AN110">
            <v>41007</v>
          </cell>
          <cell r="AO110">
            <v>9604204</v>
          </cell>
          <cell r="AP110">
            <v>21.561838150024414</v>
          </cell>
          <cell r="AQ110">
            <v>67.249855041503906</v>
          </cell>
          <cell r="AR110">
            <v>2741478.25</v>
          </cell>
          <cell r="AS110">
            <v>42.327880859375</v>
          </cell>
          <cell r="AT110">
            <v>31.803314208984375</v>
          </cell>
          <cell r="AU110">
            <v>0</v>
          </cell>
          <cell r="AV110">
            <v>17.5408935546875</v>
          </cell>
          <cell r="AW110">
            <v>8.5577144622802734</v>
          </cell>
          <cell r="AX110">
            <v>2.9595341682434082</v>
          </cell>
          <cell r="AY110">
            <v>0</v>
          </cell>
          <cell r="AZ110">
            <v>-1.872512511909008E-2</v>
          </cell>
          <cell r="BA110">
            <v>-1.179245300590992E-2</v>
          </cell>
          <cell r="BB110">
            <v>-1.5063016675412655E-2</v>
          </cell>
          <cell r="BC110">
            <v>-7.2559647262096405E-2</v>
          </cell>
          <cell r="BD110">
            <v>27.533895492553711</v>
          </cell>
          <cell r="BE110">
            <v>60.864856719970703</v>
          </cell>
          <cell r="BF110">
            <v>83.584503173828125</v>
          </cell>
          <cell r="BG110">
            <v>81.382179260253906</v>
          </cell>
          <cell r="BH110">
            <v>86.941703796386719</v>
          </cell>
          <cell r="BI110">
            <v>86.765953063964844</v>
          </cell>
          <cell r="BL110">
            <v>21.480573194777524</v>
          </cell>
          <cell r="BM110">
            <v>1.291702248941779E-17</v>
          </cell>
          <cell r="BN110">
            <v>40.740947723388672</v>
          </cell>
          <cell r="BO110">
            <v>39.426197052001953</v>
          </cell>
          <cell r="BP110">
            <v>169.32748413085937</v>
          </cell>
          <cell r="BQ110">
            <v>40.376430511474609</v>
          </cell>
          <cell r="BR110">
            <v>31.914480209350586</v>
          </cell>
          <cell r="BS110">
            <v>0</v>
          </cell>
          <cell r="BT110">
            <v>57.207023620605469</v>
          </cell>
          <cell r="BU110">
            <v>32.084033966064453</v>
          </cell>
          <cell r="BV110">
            <v>172.24068644775008</v>
          </cell>
          <cell r="BW110">
            <v>74.3035888671875</v>
          </cell>
          <cell r="BX110">
            <v>30.784477233886719</v>
          </cell>
          <cell r="BY110">
            <v>2.6761083946123931</v>
          </cell>
          <cell r="BZ110">
            <v>593.69294640276166</v>
          </cell>
          <cell r="CA110">
            <v>1605.8029678912692</v>
          </cell>
          <cell r="CB110">
            <v>51.768319661065384</v>
          </cell>
          <cell r="CC110">
            <v>38.024016875350917</v>
          </cell>
          <cell r="CD110">
            <v>6298.447684815018</v>
          </cell>
        </row>
        <row r="111">
          <cell r="T111">
            <v>157.57500000000005</v>
          </cell>
          <cell r="U111">
            <v>0</v>
          </cell>
          <cell r="V111">
            <v>157.57500000000005</v>
          </cell>
          <cell r="AF111">
            <v>0</v>
          </cell>
          <cell r="AN111">
            <v>41008</v>
          </cell>
          <cell r="AO111">
            <v>9638558</v>
          </cell>
          <cell r="AP111">
            <v>22.498777389526367</v>
          </cell>
          <cell r="AQ111">
            <v>67.257583618164063</v>
          </cell>
          <cell r="AR111">
            <v>2741478.25</v>
          </cell>
          <cell r="AS111">
            <v>42.332763671875</v>
          </cell>
          <cell r="AT111">
            <v>31.159175872802734</v>
          </cell>
          <cell r="AU111">
            <v>85.96551598725496</v>
          </cell>
          <cell r="AV111">
            <v>17.639606475830078</v>
          </cell>
          <cell r="AW111">
            <v>8.6206903457641602</v>
          </cell>
          <cell r="AX111">
            <v>9.6274785995483398</v>
          </cell>
          <cell r="AY111">
            <v>0</v>
          </cell>
          <cell r="AZ111">
            <v>-1.872512511909008E-2</v>
          </cell>
          <cell r="BA111">
            <v>-1.179245300590992E-2</v>
          </cell>
          <cell r="BB111">
            <v>-1.5063016675412655E-2</v>
          </cell>
          <cell r="BC111">
            <v>-7.2559647262096405E-2</v>
          </cell>
          <cell r="BD111">
            <v>22.781118392944336</v>
          </cell>
          <cell r="BE111">
            <v>66.59429931640625</v>
          </cell>
          <cell r="BF111">
            <v>89.22113037109375</v>
          </cell>
          <cell r="BG111">
            <v>83.910850524902344</v>
          </cell>
          <cell r="BH111">
            <v>89.025367736816406</v>
          </cell>
          <cell r="BI111">
            <v>89.633796691894531</v>
          </cell>
          <cell r="BL111">
            <v>29.774705759662169</v>
          </cell>
          <cell r="BM111">
            <v>-3.7585642460280705E-2</v>
          </cell>
          <cell r="BN111">
            <v>40.577838897705078</v>
          </cell>
          <cell r="BO111">
            <v>39.006114959716797</v>
          </cell>
          <cell r="BP111">
            <v>170.05357360839844</v>
          </cell>
          <cell r="BQ111">
            <v>40.386348724365234</v>
          </cell>
          <cell r="BR111">
            <v>31.091608047485352</v>
          </cell>
          <cell r="BS111">
            <v>0</v>
          </cell>
          <cell r="BT111">
            <v>57.148872375488281</v>
          </cell>
          <cell r="BU111">
            <v>30.658821105957031</v>
          </cell>
          <cell r="BV111">
            <v>156.44906778712007</v>
          </cell>
          <cell r="BW111">
            <v>74.176979064941406</v>
          </cell>
          <cell r="BX111">
            <v>30.191686630249023</v>
          </cell>
          <cell r="BY111">
            <v>4.0400344514468811</v>
          </cell>
          <cell r="BZ111">
            <v>453.27013617289509</v>
          </cell>
          <cell r="CA111">
            <v>1453.0320410701884</v>
          </cell>
          <cell r="CB111">
            <v>32.313001121807986</v>
          </cell>
          <cell r="CC111">
            <v>38.448911756126968</v>
          </cell>
          <cell r="CD111">
            <v>2756.9173035240588</v>
          </cell>
        </row>
        <row r="112">
          <cell r="T112">
            <v>157.57500000000005</v>
          </cell>
          <cell r="U112">
            <v>0</v>
          </cell>
          <cell r="V112">
            <v>157.57500000000005</v>
          </cell>
          <cell r="AF112">
            <v>0</v>
          </cell>
          <cell r="AN112">
            <v>41009</v>
          </cell>
          <cell r="AO112">
            <v>9654798</v>
          </cell>
          <cell r="AP112">
            <v>29.417354583740234</v>
          </cell>
          <cell r="AQ112">
            <v>61.218288421630859</v>
          </cell>
          <cell r="AR112">
            <v>2741478.25</v>
          </cell>
          <cell r="AS112">
            <v>42.364501953125</v>
          </cell>
          <cell r="AT112">
            <v>31.122589111328125</v>
          </cell>
          <cell r="AU112">
            <v>13.91786250812036</v>
          </cell>
          <cell r="AV112">
            <v>17.704448699951172</v>
          </cell>
          <cell r="AW112">
            <v>8.556422233581543</v>
          </cell>
          <cell r="AX112">
            <v>5.5340871810913086</v>
          </cell>
          <cell r="AY112">
            <v>0</v>
          </cell>
          <cell r="AZ112">
            <v>-1.872512511909008E-2</v>
          </cell>
          <cell r="BA112">
            <v>-1.179245300590992E-2</v>
          </cell>
          <cell r="BB112">
            <v>-1.5063016675412655E-2</v>
          </cell>
          <cell r="BC112">
            <v>-7.2559647262096405E-2</v>
          </cell>
          <cell r="BD112">
            <v>59.769527435302734</v>
          </cell>
          <cell r="BE112">
            <v>58.044456481933594</v>
          </cell>
          <cell r="BF112">
            <v>78.478927612304688</v>
          </cell>
          <cell r="BG112">
            <v>85.719268798828125</v>
          </cell>
          <cell r="BH112">
            <v>78.011955261230469</v>
          </cell>
          <cell r="BI112">
            <v>91.024818420410156</v>
          </cell>
          <cell r="BL112">
            <v>53.44125559530876</v>
          </cell>
          <cell r="BM112">
            <v>-1.7054057135260901E-17</v>
          </cell>
          <cell r="BN112">
            <v>40.402557373046875</v>
          </cell>
          <cell r="BO112">
            <v>39.090053558349609</v>
          </cell>
          <cell r="BP112">
            <v>170.35308837890625</v>
          </cell>
          <cell r="BQ112">
            <v>40.353366851806641</v>
          </cell>
          <cell r="BR112">
            <v>31.318025588989258</v>
          </cell>
          <cell r="BS112">
            <v>0</v>
          </cell>
          <cell r="BT112">
            <v>57.166255950927734</v>
          </cell>
          <cell r="BU112">
            <v>31.215774536132812</v>
          </cell>
          <cell r="BV112">
            <v>108.23236372780879</v>
          </cell>
          <cell r="BW112">
            <v>74.261940002441406</v>
          </cell>
          <cell r="BX112">
            <v>30.429122924804688</v>
          </cell>
          <cell r="BY112">
            <v>0.60163681674888425</v>
          </cell>
          <cell r="BZ112">
            <v>531.67656098344582</v>
          </cell>
          <cell r="CA112">
            <v>1370.0976770562065</v>
          </cell>
          <cell r="CB112">
            <v>25.388328563343595</v>
          </cell>
          <cell r="CC112">
            <v>38.156029101009722</v>
          </cell>
          <cell r="CD112">
            <v>57.265505193387249</v>
          </cell>
        </row>
        <row r="113">
          <cell r="T113">
            <v>157.57500000000005</v>
          </cell>
          <cell r="U113">
            <v>0</v>
          </cell>
          <cell r="V113">
            <v>157.57500000000005</v>
          </cell>
          <cell r="AF113">
            <v>0</v>
          </cell>
          <cell r="AN113">
            <v>41010</v>
          </cell>
          <cell r="AO113">
            <v>9669941</v>
          </cell>
          <cell r="AP113">
            <v>70.354499816894531</v>
          </cell>
          <cell r="AQ113">
            <v>67.474227905273438</v>
          </cell>
          <cell r="AR113">
            <v>2741478.25</v>
          </cell>
          <cell r="AS113">
            <v>42.509765625</v>
          </cell>
          <cell r="AT113">
            <v>31.423471450805664</v>
          </cell>
          <cell r="AU113">
            <v>73.671986307038196</v>
          </cell>
          <cell r="AV113">
            <v>17.626022338867188</v>
          </cell>
          <cell r="AW113">
            <v>8.6540136337280273</v>
          </cell>
          <cell r="AX113">
            <v>3.1517219543457031</v>
          </cell>
          <cell r="AY113">
            <v>0</v>
          </cell>
          <cell r="AZ113">
            <v>-1.872512511909008E-2</v>
          </cell>
          <cell r="BA113">
            <v>-1.179245300590992E-2</v>
          </cell>
          <cell r="BB113">
            <v>-1.5063016675412655E-2</v>
          </cell>
          <cell r="BC113">
            <v>-7.2559647262096405E-2</v>
          </cell>
          <cell r="BD113">
            <v>27.858953475952148</v>
          </cell>
          <cell r="BE113">
            <v>60.125396728515625</v>
          </cell>
          <cell r="BF113">
            <v>75.509391784667969</v>
          </cell>
          <cell r="BG113">
            <v>87.741165161132813</v>
          </cell>
          <cell r="BH113">
            <v>74.892822265625</v>
          </cell>
          <cell r="BI113">
            <v>93.983856201171875</v>
          </cell>
          <cell r="BL113">
            <v>100.0944828250673</v>
          </cell>
          <cell r="BM113">
            <v>0.20996108949540482</v>
          </cell>
          <cell r="BN113">
            <v>41.604095458984375</v>
          </cell>
          <cell r="BO113">
            <v>40.171802520751953</v>
          </cell>
          <cell r="BP113">
            <v>171.4227294921875</v>
          </cell>
          <cell r="BQ113">
            <v>40.433517456054687</v>
          </cell>
          <cell r="BR113">
            <v>31.724218368530273</v>
          </cell>
          <cell r="BS113">
            <v>0</v>
          </cell>
          <cell r="BT113">
            <v>57.210315704345703</v>
          </cell>
          <cell r="BU113">
            <v>31.793399810791016</v>
          </cell>
          <cell r="BV113">
            <v>67.413458412627733</v>
          </cell>
          <cell r="BW113">
            <v>74.286033630371094</v>
          </cell>
          <cell r="BX113">
            <v>30.778949737548828</v>
          </cell>
          <cell r="BY113">
            <v>3.63230502525025</v>
          </cell>
          <cell r="BZ113">
            <v>438.67905692782227</v>
          </cell>
          <cell r="CA113">
            <v>1512.1333737902464</v>
          </cell>
          <cell r="CB113">
            <v>31.124982327957948</v>
          </cell>
          <cell r="CC113">
            <v>37.514797678369064</v>
          </cell>
          <cell r="CD113">
            <v>3722.6176942767479</v>
          </cell>
        </row>
        <row r="114">
          <cell r="T114">
            <v>157.57500000000005</v>
          </cell>
          <cell r="U114">
            <v>0</v>
          </cell>
          <cell r="V114">
            <v>157.57500000000005</v>
          </cell>
          <cell r="AF114">
            <v>0</v>
          </cell>
          <cell r="AN114">
            <v>41011</v>
          </cell>
          <cell r="AO114">
            <v>9684832</v>
          </cell>
          <cell r="AP114">
            <v>51.33740234375</v>
          </cell>
          <cell r="AQ114">
            <v>66.079002380371094</v>
          </cell>
          <cell r="AR114">
            <v>2781158</v>
          </cell>
          <cell r="AS114">
            <v>36.346435546875</v>
          </cell>
          <cell r="AT114">
            <v>33.261062622070312</v>
          </cell>
          <cell r="AU114">
            <v>0</v>
          </cell>
          <cell r="AV114">
            <v>17.498018264770508</v>
          </cell>
          <cell r="AW114">
            <v>8.6480875015258789</v>
          </cell>
          <cell r="AX114">
            <v>2.915302038192749</v>
          </cell>
          <cell r="AY114">
            <v>0</v>
          </cell>
          <cell r="AZ114">
            <v>-1.872512511909008E-2</v>
          </cell>
          <cell r="BA114">
            <v>-1.179245300590992E-2</v>
          </cell>
          <cell r="BB114">
            <v>-1.5063016675412655E-2</v>
          </cell>
          <cell r="BC114">
            <v>-7.2559647262096405E-2</v>
          </cell>
          <cell r="BD114">
            <v>66.313674926757812</v>
          </cell>
          <cell r="BE114">
            <v>60.243759155273438</v>
          </cell>
          <cell r="BF114">
            <v>76.4346923828125</v>
          </cell>
          <cell r="BG114">
            <v>87.873268127441406</v>
          </cell>
          <cell r="BH114">
            <v>76.3616943359375</v>
          </cell>
          <cell r="BI114">
            <v>95.214485168457031</v>
          </cell>
          <cell r="BL114">
            <v>34.500360707962955</v>
          </cell>
          <cell r="BM114">
            <v>8.1343300312129436E-17</v>
          </cell>
          <cell r="BN114">
            <v>41.196708679199219</v>
          </cell>
          <cell r="BO114">
            <v>39.973499298095703</v>
          </cell>
          <cell r="BP114">
            <v>169.54685974121094</v>
          </cell>
          <cell r="BQ114">
            <v>40.348537445068359</v>
          </cell>
          <cell r="BR114">
            <v>32.137592315673828</v>
          </cell>
          <cell r="BS114">
            <v>0</v>
          </cell>
          <cell r="BT114">
            <v>57.277805328369141</v>
          </cell>
          <cell r="BU114">
            <v>32.613025665283203</v>
          </cell>
          <cell r="BV114">
            <v>19.409043523394473</v>
          </cell>
          <cell r="BW114">
            <v>74.333915710449219</v>
          </cell>
          <cell r="BX114">
            <v>31.128213882446289</v>
          </cell>
          <cell r="BY114">
            <v>3.7874092368241334</v>
          </cell>
          <cell r="BZ114">
            <v>534.52372948229754</v>
          </cell>
          <cell r="CA114">
            <v>1545.0380071502968</v>
          </cell>
          <cell r="CB114">
            <v>30.652094450762977</v>
          </cell>
          <cell r="CC114">
            <v>37.721255369941396</v>
          </cell>
          <cell r="CD114">
            <v>2660.0168229098113</v>
          </cell>
        </row>
        <row r="115">
          <cell r="T115">
            <v>157.57500000000005</v>
          </cell>
          <cell r="U115">
            <v>0</v>
          </cell>
          <cell r="V115">
            <v>157.57500000000005</v>
          </cell>
          <cell r="AF115">
            <v>0</v>
          </cell>
          <cell r="AN115">
            <v>41012</v>
          </cell>
          <cell r="AO115">
            <v>9699131</v>
          </cell>
          <cell r="AP115">
            <v>50.502334594726563</v>
          </cell>
          <cell r="AQ115">
            <v>67.52618408203125</v>
          </cell>
          <cell r="AR115">
            <v>2785952.5</v>
          </cell>
          <cell r="AS115">
            <v>36.9140625</v>
          </cell>
          <cell r="AT115">
            <v>33.09161376953125</v>
          </cell>
          <cell r="AU115">
            <v>0</v>
          </cell>
          <cell r="AV115">
            <v>17.527353286743164</v>
          </cell>
          <cell r="AW115">
            <v>8.6714153289794922</v>
          </cell>
          <cell r="AX115">
            <v>2.2918515205383301</v>
          </cell>
          <cell r="AY115">
            <v>0</v>
          </cell>
          <cell r="AZ115">
            <v>-1.872512511909008E-2</v>
          </cell>
          <cell r="BA115">
            <v>-1.179245300590992E-2</v>
          </cell>
          <cell r="BB115">
            <v>-1.5063016675412655E-2</v>
          </cell>
          <cell r="BC115">
            <v>-7.2559647262096405E-2</v>
          </cell>
          <cell r="BD115">
            <v>81.122016906738281</v>
          </cell>
          <cell r="BE115">
            <v>61.324825286865234</v>
          </cell>
          <cell r="BF115">
            <v>74.627235412597656</v>
          </cell>
          <cell r="BG115">
            <v>87.30224609375</v>
          </cell>
          <cell r="BH115">
            <v>74.5194091796875</v>
          </cell>
          <cell r="BI115">
            <v>98.619804382324219</v>
          </cell>
          <cell r="BL115">
            <v>113.89356882004387</v>
          </cell>
          <cell r="BM115">
            <v>8.1343300312129436E-17</v>
          </cell>
          <cell r="BN115">
            <v>40.932247161865234</v>
          </cell>
          <cell r="BO115">
            <v>39.6025390625</v>
          </cell>
          <cell r="BP115">
            <v>169.59123229980469</v>
          </cell>
          <cell r="BQ115">
            <v>40.382678985595703</v>
          </cell>
          <cell r="BR115">
            <v>32.435901641845703</v>
          </cell>
          <cell r="BS115">
            <v>0</v>
          </cell>
          <cell r="BT115">
            <v>57.332122802734375</v>
          </cell>
          <cell r="BU115">
            <v>32.879833221435547</v>
          </cell>
          <cell r="BV115">
            <v>13.054780090337223</v>
          </cell>
          <cell r="BW115">
            <v>74.314666748046875</v>
          </cell>
          <cell r="BX115">
            <v>31.311491012573242</v>
          </cell>
          <cell r="BY115">
            <v>2.8545803564484085</v>
          </cell>
          <cell r="BZ115">
            <v>478.61052971645637</v>
          </cell>
          <cell r="CA115">
            <v>1496.9827464923153</v>
          </cell>
          <cell r="CB115">
            <v>31.36098971851446</v>
          </cell>
          <cell r="CC115">
            <v>38.781907553800828</v>
          </cell>
          <cell r="CD115">
            <v>4611.5460018267504</v>
          </cell>
        </row>
        <row r="116">
          <cell r="T116">
            <v>157.57500000000005</v>
          </cell>
          <cell r="U116">
            <v>0</v>
          </cell>
          <cell r="V116">
            <v>157.57500000000005</v>
          </cell>
          <cell r="AF116">
            <v>0</v>
          </cell>
          <cell r="AN116">
            <v>41013</v>
          </cell>
          <cell r="AO116">
            <v>9714333</v>
          </cell>
          <cell r="AP116">
            <v>48.041324615478516</v>
          </cell>
          <cell r="AQ116">
            <v>68.794876098632812</v>
          </cell>
          <cell r="AR116">
            <v>2785952.5</v>
          </cell>
          <cell r="AS116">
            <v>37.3291015625</v>
          </cell>
          <cell r="AT116">
            <v>33.285442352294922</v>
          </cell>
          <cell r="AU116">
            <v>0</v>
          </cell>
          <cell r="AV116">
            <v>17.444068908691406</v>
          </cell>
          <cell r="AW116">
            <v>8.6502189636230469</v>
          </cell>
          <cell r="AX116">
            <v>1.7674953937530518</v>
          </cell>
          <cell r="AY116">
            <v>0</v>
          </cell>
          <cell r="AZ116">
            <v>-1.872512511909008E-2</v>
          </cell>
          <cell r="BA116">
            <v>-1.179245300590992E-2</v>
          </cell>
          <cell r="BB116">
            <v>-1.5063016675412655E-2</v>
          </cell>
          <cell r="BC116">
            <v>-7.2559647262096405E-2</v>
          </cell>
          <cell r="BD116">
            <v>56.115634918212891</v>
          </cell>
          <cell r="BE116">
            <v>58.311496734619141</v>
          </cell>
          <cell r="BF116">
            <v>78.140037536621094</v>
          </cell>
          <cell r="BG116">
            <v>87.000869750976563</v>
          </cell>
          <cell r="BH116">
            <v>78.126708984375</v>
          </cell>
          <cell r="BI116">
            <v>90.12982177734375</v>
          </cell>
          <cell r="BL116">
            <v>131.74205197167836</v>
          </cell>
          <cell r="BM116">
            <v>8.1343300312129436E-17</v>
          </cell>
          <cell r="BN116">
            <v>41.742893218994141</v>
          </cell>
          <cell r="BO116">
            <v>40.467998504638672</v>
          </cell>
          <cell r="BP116">
            <v>170.8984375</v>
          </cell>
          <cell r="BQ116">
            <v>40.348217010498047</v>
          </cell>
          <cell r="BR116">
            <v>32.824253082275391</v>
          </cell>
          <cell r="BS116">
            <v>0</v>
          </cell>
          <cell r="BT116">
            <v>57.369392395019531</v>
          </cell>
          <cell r="BU116">
            <v>33.461788177490234</v>
          </cell>
          <cell r="BV116">
            <v>15.035075018986209</v>
          </cell>
          <cell r="BW116">
            <v>74.320022583007813</v>
          </cell>
          <cell r="BX116">
            <v>31.57933235168457</v>
          </cell>
          <cell r="BY116">
            <v>1.3548956865824111</v>
          </cell>
          <cell r="BZ116">
            <v>500.00399870173135</v>
          </cell>
          <cell r="CA116">
            <v>1449.9839490044205</v>
          </cell>
          <cell r="CB116">
            <v>34.093944540076784</v>
          </cell>
          <cell r="CC116">
            <v>38.771553940243194</v>
          </cell>
          <cell r="CD116">
            <v>3398.799266036302</v>
          </cell>
        </row>
        <row r="117">
          <cell r="T117">
            <v>157.57500000000005</v>
          </cell>
          <cell r="U117">
            <v>0</v>
          </cell>
          <cell r="V117">
            <v>157.57500000000005</v>
          </cell>
          <cell r="AF117">
            <v>0</v>
          </cell>
          <cell r="AN117">
            <v>41014</v>
          </cell>
          <cell r="AO117">
            <v>9729382</v>
          </cell>
          <cell r="AP117">
            <v>28.0701904296875</v>
          </cell>
          <cell r="AQ117">
            <v>66.45916748046875</v>
          </cell>
          <cell r="AR117">
            <v>2826125.75</v>
          </cell>
          <cell r="AS117">
            <v>29.23095703125</v>
          </cell>
          <cell r="AT117">
            <v>33.971366882324219</v>
          </cell>
          <cell r="AU117">
            <v>2343.761897922092</v>
          </cell>
          <cell r="AV117">
            <v>17.60899543762207</v>
          </cell>
          <cell r="AW117">
            <v>8.6823492050170898</v>
          </cell>
          <cell r="AX117">
            <v>1.2716242074966431</v>
          </cell>
          <cell r="AY117">
            <v>8.819645881652832</v>
          </cell>
          <cell r="AZ117">
            <v>-1.872512511909008E-2</v>
          </cell>
          <cell r="BA117">
            <v>-1.179245300590992E-2</v>
          </cell>
          <cell r="BB117">
            <v>-1.5063016675412655E-2</v>
          </cell>
          <cell r="BC117">
            <v>-7.2559647262096405E-2</v>
          </cell>
          <cell r="BD117">
            <v>46.049709320068359</v>
          </cell>
          <cell r="BE117">
            <v>59.549167633056641</v>
          </cell>
          <cell r="BF117">
            <v>81.312835693359375</v>
          </cell>
          <cell r="BG117">
            <v>86.859642028808594</v>
          </cell>
          <cell r="BH117">
            <v>81.18585205078125</v>
          </cell>
          <cell r="BI117">
            <v>95.298240661621094</v>
          </cell>
          <cell r="BL117">
            <v>762.95427243215067</v>
          </cell>
          <cell r="BM117">
            <v>8.1343300312129436E-17</v>
          </cell>
          <cell r="BN117">
            <v>53.985076904296875</v>
          </cell>
          <cell r="BO117">
            <v>52.669639587402344</v>
          </cell>
          <cell r="BP117">
            <v>174.36988830566406</v>
          </cell>
          <cell r="BQ117">
            <v>40.439247131347656</v>
          </cell>
          <cell r="BR117">
            <v>32.947296142578125</v>
          </cell>
          <cell r="BS117">
            <v>0</v>
          </cell>
          <cell r="BT117">
            <v>57.400447845458984</v>
          </cell>
          <cell r="BU117">
            <v>33.495826721191406</v>
          </cell>
          <cell r="BV117">
            <v>4.0867192911333277</v>
          </cell>
          <cell r="BW117">
            <v>74.232246398925781</v>
          </cell>
          <cell r="BX117">
            <v>31.742961883544922</v>
          </cell>
          <cell r="BY117">
            <v>0.38688498230197682</v>
          </cell>
          <cell r="BZ117">
            <v>545.37164730382847</v>
          </cell>
          <cell r="CA117">
            <v>1509.9531958294754</v>
          </cell>
          <cell r="CB117">
            <v>49.975353199058112</v>
          </cell>
          <cell r="CC117">
            <v>39.285368779853535</v>
          </cell>
          <cell r="CD117">
            <v>1868.594486560329</v>
          </cell>
        </row>
        <row r="118">
          <cell r="T118">
            <v>337.57500000000005</v>
          </cell>
          <cell r="U118">
            <v>0</v>
          </cell>
          <cell r="V118">
            <v>337.57500000000005</v>
          </cell>
          <cell r="AF118">
            <v>0</v>
          </cell>
          <cell r="AN118">
            <v>41015</v>
          </cell>
          <cell r="AO118">
            <v>9998409</v>
          </cell>
          <cell r="AP118">
            <v>23.66792106628418</v>
          </cell>
          <cell r="AQ118">
            <v>65.879837036132812</v>
          </cell>
          <cell r="AR118">
            <v>2921143.25</v>
          </cell>
          <cell r="AS118">
            <v>29.388427734375</v>
          </cell>
          <cell r="AT118">
            <v>34.561027526855469</v>
          </cell>
          <cell r="AU118">
            <v>11180.81994112368</v>
          </cell>
          <cell r="AV118">
            <v>17.55168342590332</v>
          </cell>
          <cell r="AW118">
            <v>8.6358709335327148</v>
          </cell>
          <cell r="AX118">
            <v>1.8164483308792114</v>
          </cell>
          <cell r="AY118">
            <v>108.07875061035156</v>
          </cell>
          <cell r="AZ118">
            <v>-1.872512511909008E-2</v>
          </cell>
          <cell r="BA118">
            <v>-1.179245300590992E-2</v>
          </cell>
          <cell r="BB118">
            <v>-1.5063016675412655E-2</v>
          </cell>
          <cell r="BC118">
            <v>18.149229049682617</v>
          </cell>
          <cell r="BD118">
            <v>32.367145538330078</v>
          </cell>
          <cell r="BE118">
            <v>64.11297607421875</v>
          </cell>
          <cell r="BF118">
            <v>83.857795715332031</v>
          </cell>
          <cell r="BG118">
            <v>86.598678588867188</v>
          </cell>
          <cell r="BH118">
            <v>84.503189086914062</v>
          </cell>
          <cell r="BI118">
            <v>93.606269836425781</v>
          </cell>
          <cell r="BL118">
            <v>746.99811938713219</v>
          </cell>
          <cell r="BM118">
            <v>401.52154159147733</v>
          </cell>
          <cell r="BN118">
            <v>59.090106964111328</v>
          </cell>
          <cell r="BO118">
            <v>57.821647644042969</v>
          </cell>
          <cell r="BP118">
            <v>175.85577392578125</v>
          </cell>
          <cell r="BQ118">
            <v>40.357456207275391</v>
          </cell>
          <cell r="BR118">
            <v>33.161556243896484</v>
          </cell>
          <cell r="BS118">
            <v>0</v>
          </cell>
          <cell r="BT118">
            <v>57.423297882080078</v>
          </cell>
          <cell r="BU118">
            <v>33.831809997558594</v>
          </cell>
          <cell r="BV118">
            <v>0.88205627233731154</v>
          </cell>
          <cell r="BW118">
            <v>74.226470947265625</v>
          </cell>
          <cell r="BX118">
            <v>31.991022109985352</v>
          </cell>
          <cell r="BY118">
            <v>0.28977202649908046</v>
          </cell>
          <cell r="BZ118">
            <v>519.40708536395323</v>
          </cell>
          <cell r="CA118">
            <v>1402.0251262520685</v>
          </cell>
          <cell r="CB118">
            <v>78.59093650151182</v>
          </cell>
          <cell r="CC118">
            <v>39.14768452854068</v>
          </cell>
          <cell r="CD118">
            <v>2737.2725073935562</v>
          </cell>
        </row>
        <row r="119">
          <cell r="T119">
            <v>613.57500000000005</v>
          </cell>
          <cell r="U119">
            <v>0</v>
          </cell>
          <cell r="V119">
            <v>613.57500000000005</v>
          </cell>
          <cell r="AF119">
            <v>0</v>
          </cell>
          <cell r="AN119">
            <v>41016</v>
          </cell>
          <cell r="AO119">
            <v>10322983</v>
          </cell>
          <cell r="AP119">
            <v>30.163631439208984</v>
          </cell>
          <cell r="AQ119">
            <v>66.477592468261719</v>
          </cell>
          <cell r="AR119">
            <v>3020329.75</v>
          </cell>
          <cell r="AS119">
            <v>27.984619140625</v>
          </cell>
          <cell r="AT119">
            <v>34.905586242675781</v>
          </cell>
          <cell r="AU119">
            <v>16034.509558501068</v>
          </cell>
          <cell r="AV119">
            <v>205.00804138183594</v>
          </cell>
          <cell r="AW119">
            <v>8.9606962203979492</v>
          </cell>
          <cell r="AX119">
            <v>1.7862241268157959</v>
          </cell>
          <cell r="AY119">
            <v>10.806296348571777</v>
          </cell>
          <cell r="AZ119">
            <v>19.037982940673828</v>
          </cell>
          <cell r="BA119">
            <v>-1.179245300590992E-2</v>
          </cell>
          <cell r="BB119">
            <v>-1.5063016675412655E-2</v>
          </cell>
          <cell r="BC119">
            <v>-7.2966545820236206E-2</v>
          </cell>
          <cell r="BD119">
            <v>62.863712310791016</v>
          </cell>
          <cell r="BE119">
            <v>62.028392791748047</v>
          </cell>
          <cell r="BF119">
            <v>71.858779907226563</v>
          </cell>
          <cell r="BG119">
            <v>87.450569152832031</v>
          </cell>
          <cell r="BH119">
            <v>84.800025939941406</v>
          </cell>
          <cell r="BI119">
            <v>94.635490417480469</v>
          </cell>
          <cell r="BL119">
            <v>774.56555995739825</v>
          </cell>
          <cell r="BM119">
            <v>604.18918931582152</v>
          </cell>
          <cell r="BN119">
            <v>61.208206176757813</v>
          </cell>
          <cell r="BO119">
            <v>60.028999328613281</v>
          </cell>
          <cell r="BP119">
            <v>176.40127563476562</v>
          </cell>
          <cell r="BQ119">
            <v>40.367786407470703</v>
          </cell>
          <cell r="BR119">
            <v>33.239330291748047</v>
          </cell>
          <cell r="BS119">
            <v>0</v>
          </cell>
          <cell r="BT119">
            <v>57.528804779052734</v>
          </cell>
          <cell r="BU119">
            <v>33.961723327636719</v>
          </cell>
          <cell r="BV119">
            <v>6.7355954086543556E-17</v>
          </cell>
          <cell r="BW119">
            <v>74.320755004882813</v>
          </cell>
          <cell r="BX119">
            <v>32.109230041503906</v>
          </cell>
          <cell r="BY119">
            <v>0.29417240760563645</v>
          </cell>
          <cell r="BZ119">
            <v>513.53170315089051</v>
          </cell>
          <cell r="CA119">
            <v>1321.9400241074738</v>
          </cell>
          <cell r="CB119">
            <v>75.277846116335297</v>
          </cell>
          <cell r="CC119">
            <v>37.957586864343398</v>
          </cell>
          <cell r="CD119">
            <v>4298.1802029189357</v>
          </cell>
        </row>
        <row r="120">
          <cell r="T120">
            <v>966.07500000000005</v>
          </cell>
          <cell r="U120">
            <v>316.5</v>
          </cell>
          <cell r="V120">
            <v>649.57500000000005</v>
          </cell>
          <cell r="AF120">
            <v>0</v>
          </cell>
          <cell r="AN120">
            <v>41017</v>
          </cell>
          <cell r="AO120">
            <v>10610952</v>
          </cell>
          <cell r="AP120">
            <v>31.192131042480469</v>
          </cell>
          <cell r="AQ120">
            <v>66.650230407714844</v>
          </cell>
          <cell r="AR120">
            <v>3145131.75</v>
          </cell>
          <cell r="AS120">
            <v>30.992431640625</v>
          </cell>
          <cell r="AT120">
            <v>34.668777465820313</v>
          </cell>
          <cell r="AU120">
            <v>19066.754060115109</v>
          </cell>
          <cell r="AV120">
            <v>15.167126655578613</v>
          </cell>
          <cell r="AW120">
            <v>326.29843139648437</v>
          </cell>
          <cell r="AX120">
            <v>12.275278091430664</v>
          </cell>
          <cell r="AY120">
            <v>0</v>
          </cell>
          <cell r="AZ120">
            <v>-8.2800518721342087E-3</v>
          </cell>
          <cell r="BA120">
            <v>61.309478759765625</v>
          </cell>
          <cell r="BB120">
            <v>-1.5063016675412655E-2</v>
          </cell>
          <cell r="BC120">
            <v>-7.2966545820236206E-2</v>
          </cell>
          <cell r="BD120">
            <v>65.381523132324219</v>
          </cell>
          <cell r="BE120">
            <v>63.242668151855469</v>
          </cell>
          <cell r="BF120">
            <v>59.463493347167969</v>
          </cell>
          <cell r="BG120">
            <v>88.916213989257813</v>
          </cell>
          <cell r="BH120">
            <v>85.207183837890625</v>
          </cell>
          <cell r="BI120">
            <v>90.38507080078125</v>
          </cell>
          <cell r="BL120">
            <v>736.21308831836564</v>
          </cell>
          <cell r="BM120">
            <v>602.4817906889831</v>
          </cell>
          <cell r="BN120">
            <v>62.615024566650391</v>
          </cell>
          <cell r="BO120">
            <v>61.517448425292969</v>
          </cell>
          <cell r="BP120">
            <v>174.70361328125</v>
          </cell>
          <cell r="BQ120">
            <v>40.347873687744141</v>
          </cell>
          <cell r="BR120">
            <v>33.135723114013672</v>
          </cell>
          <cell r="BS120">
            <v>0</v>
          </cell>
          <cell r="BT120">
            <v>57.525257110595703</v>
          </cell>
          <cell r="BU120">
            <v>33.800384521484375</v>
          </cell>
          <cell r="BV120">
            <v>1.1498886105359877E-2</v>
          </cell>
          <cell r="BW120">
            <v>74.363822937011719</v>
          </cell>
          <cell r="BX120">
            <v>32.222969055175781</v>
          </cell>
          <cell r="BY120">
            <v>0.38255946492383064</v>
          </cell>
          <cell r="BZ120">
            <v>440.51212254333501</v>
          </cell>
          <cell r="CA120">
            <v>1148.0839218321908</v>
          </cell>
          <cell r="CB120">
            <v>66.033222319894364</v>
          </cell>
          <cell r="CC120">
            <v>35.644241222527292</v>
          </cell>
          <cell r="CD120">
            <v>5621.0875624830451</v>
          </cell>
        </row>
        <row r="121">
          <cell r="T121">
            <v>1389.825</v>
          </cell>
          <cell r="U121">
            <v>739.5</v>
          </cell>
          <cell r="V121">
            <v>650.32500000000005</v>
          </cell>
          <cell r="AF121">
            <v>0</v>
          </cell>
          <cell r="AN121">
            <v>41018</v>
          </cell>
          <cell r="AO121">
            <v>10898968</v>
          </cell>
          <cell r="AP121">
            <v>33.26922607421875</v>
          </cell>
          <cell r="AQ121">
            <v>66.831550598144531</v>
          </cell>
          <cell r="AR121">
            <v>3272334.25</v>
          </cell>
          <cell r="AS121">
            <v>34.86328125</v>
          </cell>
          <cell r="AT121">
            <v>34.662532806396484</v>
          </cell>
          <cell r="AU121">
            <v>19333.97768210404</v>
          </cell>
          <cell r="AV121">
            <v>14.633720397949219</v>
          </cell>
          <cell r="AW121">
            <v>9.1837568283081055</v>
          </cell>
          <cell r="AX121">
            <v>400.3323974609375</v>
          </cell>
          <cell r="AY121">
            <v>0</v>
          </cell>
          <cell r="AZ121">
            <v>-8.2800518721342087E-3</v>
          </cell>
          <cell r="BA121">
            <v>-1.1757904663681984E-2</v>
          </cell>
          <cell r="BB121">
            <v>60.583381652832031</v>
          </cell>
          <cell r="BC121">
            <v>-7.2966545820236206E-2</v>
          </cell>
          <cell r="BD121">
            <v>72.008644104003906</v>
          </cell>
          <cell r="BE121">
            <v>62.743804931640625</v>
          </cell>
          <cell r="BF121">
            <v>45.419422149658203</v>
          </cell>
          <cell r="BG121">
            <v>87.978263854980469</v>
          </cell>
          <cell r="BH121">
            <v>85.77020263671875</v>
          </cell>
          <cell r="BI121">
            <v>88.443939208984375</v>
          </cell>
          <cell r="BL121">
            <v>830.54684299433677</v>
          </cell>
          <cell r="BM121">
            <v>803.95717623772498</v>
          </cell>
          <cell r="BN121">
            <v>62.383064270019531</v>
          </cell>
          <cell r="BO121">
            <v>61.350353240966797</v>
          </cell>
          <cell r="BP121">
            <v>174.98550415039062</v>
          </cell>
          <cell r="BQ121">
            <v>40.504558563232422</v>
          </cell>
          <cell r="BR121">
            <v>33.248672485351562</v>
          </cell>
          <cell r="BS121">
            <v>0</v>
          </cell>
          <cell r="BT121">
            <v>57.546939849853516</v>
          </cell>
          <cell r="BU121">
            <v>33.974956512451172</v>
          </cell>
          <cell r="BV121">
            <v>1.869848888429387E-17</v>
          </cell>
          <cell r="BW121">
            <v>74.429679870605469</v>
          </cell>
          <cell r="BX121">
            <v>32.395503997802734</v>
          </cell>
          <cell r="BY121">
            <v>0.28179747122640814</v>
          </cell>
          <cell r="BZ121">
            <v>463.9358400699474</v>
          </cell>
          <cell r="CA121">
            <v>1099.9487369931539</v>
          </cell>
          <cell r="CB121">
            <v>55.679547431548436</v>
          </cell>
          <cell r="CC121">
            <v>34.966579873645749</v>
          </cell>
          <cell r="CD121">
            <v>5559.971546540437</v>
          </cell>
        </row>
        <row r="122">
          <cell r="T122">
            <v>1797.825</v>
          </cell>
          <cell r="U122">
            <v>1147.5</v>
          </cell>
          <cell r="V122">
            <v>650.32500000000005</v>
          </cell>
          <cell r="AF122">
            <v>0</v>
          </cell>
          <cell r="AN122">
            <v>41019</v>
          </cell>
          <cell r="AO122">
            <v>11148442</v>
          </cell>
          <cell r="AP122">
            <v>36.744464874267578</v>
          </cell>
          <cell r="AQ122">
            <v>67.515762329101562</v>
          </cell>
          <cell r="AR122">
            <v>3399532</v>
          </cell>
          <cell r="AS122">
            <v>38.6962890625</v>
          </cell>
          <cell r="AT122">
            <v>34.795761108398438</v>
          </cell>
          <cell r="AU122">
            <v>18996.198851784789</v>
          </cell>
          <cell r="AV122">
            <v>423.6083984375</v>
          </cell>
          <cell r="AW122">
            <v>10.369464874267578</v>
          </cell>
          <cell r="AX122">
            <v>12.171375274658203</v>
          </cell>
          <cell r="AY122">
            <v>0</v>
          </cell>
          <cell r="AZ122">
            <v>59.708564758300781</v>
          </cell>
          <cell r="BA122">
            <v>-1.1757904663681984E-2</v>
          </cell>
          <cell r="BB122">
            <v>-1.3784732669591904E-2</v>
          </cell>
          <cell r="BC122">
            <v>-7.2966545820236206E-2</v>
          </cell>
          <cell r="BD122">
            <v>69.719200134277344</v>
          </cell>
          <cell r="BE122">
            <v>61.740631103515625</v>
          </cell>
          <cell r="BF122">
            <v>31.156343460083008</v>
          </cell>
          <cell r="BG122">
            <v>87.0115966796875</v>
          </cell>
          <cell r="BH122">
            <v>85.761947631835938</v>
          </cell>
          <cell r="BI122">
            <v>87.6678466796875</v>
          </cell>
          <cell r="BL122">
            <v>840.282067181858</v>
          </cell>
          <cell r="BM122">
            <v>806.25475536191698</v>
          </cell>
          <cell r="BN122">
            <v>62.284225463867188</v>
          </cell>
          <cell r="BO122">
            <v>61.262119293212891</v>
          </cell>
          <cell r="BP122">
            <v>174.88386535644531</v>
          </cell>
          <cell r="BQ122">
            <v>40.333484649658203</v>
          </cell>
          <cell r="BR122">
            <v>33.449043273925781</v>
          </cell>
          <cell r="BS122">
            <v>0</v>
          </cell>
          <cell r="BT122">
            <v>57.567634582519531</v>
          </cell>
          <cell r="BU122">
            <v>33.996364593505859</v>
          </cell>
          <cell r="BV122">
            <v>1.869848888429387E-17</v>
          </cell>
          <cell r="BW122">
            <v>74.35760498046875</v>
          </cell>
          <cell r="BX122">
            <v>32.502044677734375</v>
          </cell>
          <cell r="BY122">
            <v>5.6070337671299597E-2</v>
          </cell>
          <cell r="BZ122">
            <v>480.01312912673131</v>
          </cell>
          <cell r="CA122">
            <v>1100.0291067271055</v>
          </cell>
          <cell r="CB122">
            <v>38.661227658725082</v>
          </cell>
          <cell r="CC122">
            <v>34.71021322666936</v>
          </cell>
          <cell r="CD122">
            <v>5996.8509214354144</v>
          </cell>
        </row>
        <row r="123">
          <cell r="T123">
            <v>2289.0749999999998</v>
          </cell>
          <cell r="U123">
            <v>1638.75</v>
          </cell>
          <cell r="V123">
            <v>650.32500000000005</v>
          </cell>
          <cell r="AF123">
            <v>0</v>
          </cell>
          <cell r="AN123">
            <v>41020</v>
          </cell>
          <cell r="AO123">
            <v>11420139</v>
          </cell>
          <cell r="AP123">
            <v>36.700897216796875</v>
          </cell>
          <cell r="AQ123">
            <v>66.658187866210938</v>
          </cell>
          <cell r="AR123">
            <v>3526761.5</v>
          </cell>
          <cell r="AS123">
            <v>42.57080078125</v>
          </cell>
          <cell r="AT123">
            <v>34.990863800048828</v>
          </cell>
          <cell r="AU123">
            <v>19275.594107025525</v>
          </cell>
          <cell r="AV123">
            <v>15.824308395385742</v>
          </cell>
          <cell r="AW123">
            <v>401.16162109375</v>
          </cell>
          <cell r="AX123">
            <v>6.0125064849853516</v>
          </cell>
          <cell r="AY123">
            <v>0</v>
          </cell>
          <cell r="AZ123">
            <v>-1.5730947256088257E-2</v>
          </cell>
          <cell r="BA123">
            <v>75.150299072265625</v>
          </cell>
          <cell r="BB123">
            <v>-1.3784732669591904E-2</v>
          </cell>
          <cell r="BC123">
            <v>-7.2966545820236206E-2</v>
          </cell>
          <cell r="BD123">
            <v>74.437294006347656</v>
          </cell>
          <cell r="BE123">
            <v>63.608600616455078</v>
          </cell>
          <cell r="BF123">
            <v>53.013454437255859</v>
          </cell>
          <cell r="BG123">
            <v>87.748443603515625</v>
          </cell>
          <cell r="BH123">
            <v>50.515277862548828</v>
          </cell>
          <cell r="BI123">
            <v>90.206199645996094</v>
          </cell>
          <cell r="BL123">
            <v>878.700260153111</v>
          </cell>
          <cell r="BM123">
            <v>802.49059235009827</v>
          </cell>
          <cell r="BN123">
            <v>62.93951416015625</v>
          </cell>
          <cell r="BO123">
            <v>61.968181610107422</v>
          </cell>
          <cell r="BP123">
            <v>174.92054748535156</v>
          </cell>
          <cell r="BQ123">
            <v>40.358985900878906</v>
          </cell>
          <cell r="BR123">
            <v>33.940536499023438</v>
          </cell>
          <cell r="BS123">
            <v>0</v>
          </cell>
          <cell r="BT123">
            <v>57.656265258789063</v>
          </cell>
          <cell r="BU123">
            <v>34.163089752197266</v>
          </cell>
          <cell r="BV123">
            <v>0.19092732602275064</v>
          </cell>
          <cell r="BW123">
            <v>74.412734985351562</v>
          </cell>
          <cell r="BX123">
            <v>32.808124542236328</v>
          </cell>
          <cell r="BY123">
            <v>5.2055987676553644E-2</v>
          </cell>
          <cell r="BZ123">
            <v>471.39823713588123</v>
          </cell>
          <cell r="CA123">
            <v>1098.856317535683</v>
          </cell>
          <cell r="CB123">
            <v>26.539814582563476</v>
          </cell>
          <cell r="CC123">
            <v>34.695517702705331</v>
          </cell>
          <cell r="CD123">
            <v>4738.5174151474757</v>
          </cell>
        </row>
        <row r="124">
          <cell r="T124">
            <v>2739.8249999999998</v>
          </cell>
          <cell r="U124">
            <v>2089.5</v>
          </cell>
          <cell r="V124">
            <v>650.32500000000005</v>
          </cell>
          <cell r="AF124">
            <v>0</v>
          </cell>
          <cell r="AN124">
            <v>41021</v>
          </cell>
          <cell r="AO124">
            <v>11672832</v>
          </cell>
          <cell r="AP124">
            <v>40.360065460205078</v>
          </cell>
          <cell r="AQ124">
            <v>67.243736267089844</v>
          </cell>
          <cell r="AR124">
            <v>3642276</v>
          </cell>
          <cell r="AS124">
            <v>43.22509765625</v>
          </cell>
          <cell r="AT124">
            <v>34.655567169189453</v>
          </cell>
          <cell r="AU124">
            <v>18404.375400605379</v>
          </cell>
          <cell r="AV124">
            <v>14.650421142578125</v>
          </cell>
          <cell r="AW124">
            <v>9.8803424835205078</v>
          </cell>
          <cell r="AX124">
            <v>435.248291015625</v>
          </cell>
          <cell r="AY124">
            <v>0</v>
          </cell>
          <cell r="AZ124">
            <v>-1.5730947256088257E-2</v>
          </cell>
          <cell r="BA124">
            <v>-6.8405438214540482E-3</v>
          </cell>
          <cell r="BB124">
            <v>73.025718688964844</v>
          </cell>
          <cell r="BC124">
            <v>-7.2966545820236206E-2</v>
          </cell>
          <cell r="BD124">
            <v>68.469314575195313</v>
          </cell>
          <cell r="BE124">
            <v>62.533363342285156</v>
          </cell>
          <cell r="BF124">
            <v>46.954051971435547</v>
          </cell>
          <cell r="BG124">
            <v>87.058189392089844</v>
          </cell>
          <cell r="BH124">
            <v>44.542186737060547</v>
          </cell>
          <cell r="BI124">
            <v>88.79510498046875</v>
          </cell>
          <cell r="BL124">
            <v>858.32699008468353</v>
          </cell>
          <cell r="BM124">
            <v>803.62664109657385</v>
          </cell>
          <cell r="BN124">
            <v>63.220912933349609</v>
          </cell>
          <cell r="BO124">
            <v>62.22552490234375</v>
          </cell>
          <cell r="BP124">
            <v>175.06434631347656</v>
          </cell>
          <cell r="BQ124">
            <v>40.3411865234375</v>
          </cell>
          <cell r="BR124">
            <v>33.817729949951172</v>
          </cell>
          <cell r="BS124">
            <v>0</v>
          </cell>
          <cell r="BT124">
            <v>57.737941741943359</v>
          </cell>
          <cell r="BU124">
            <v>34.077701568603516</v>
          </cell>
          <cell r="BV124">
            <v>6.920153681347746E-2</v>
          </cell>
          <cell r="BW124">
            <v>74.431144714355469</v>
          </cell>
          <cell r="BX124">
            <v>33.049335479736328</v>
          </cell>
          <cell r="BY124">
            <v>2.9758613154259733E-2</v>
          </cell>
          <cell r="BZ124">
            <v>450.72118984151768</v>
          </cell>
          <cell r="CA124">
            <v>1050.7615668501678</v>
          </cell>
          <cell r="CB124">
            <v>28.545323771322217</v>
          </cell>
          <cell r="CC124">
            <v>34.696273649749934</v>
          </cell>
          <cell r="CD124">
            <v>4566.3037834687411</v>
          </cell>
        </row>
        <row r="125">
          <cell r="T125">
            <v>3213.8249999999998</v>
          </cell>
          <cell r="U125">
            <v>2562.75</v>
          </cell>
          <cell r="V125">
            <v>651.07500000000005</v>
          </cell>
          <cell r="AF125">
            <v>0</v>
          </cell>
          <cell r="AN125">
            <v>41022</v>
          </cell>
          <cell r="AO125">
            <v>11912843</v>
          </cell>
          <cell r="AP125">
            <v>39.319534301757813</v>
          </cell>
          <cell r="AQ125">
            <v>67.36639404296875</v>
          </cell>
          <cell r="AR125">
            <v>3757452.5</v>
          </cell>
          <cell r="AS125">
            <v>41.182861328125</v>
          </cell>
          <cell r="AT125">
            <v>34.679618835449219</v>
          </cell>
          <cell r="AU125">
            <v>17785.181377487748</v>
          </cell>
          <cell r="AV125">
            <v>390.91976928710937</v>
          </cell>
          <cell r="AW125">
            <v>10.734991073608398</v>
          </cell>
          <cell r="AX125">
            <v>6.1923666000366211</v>
          </cell>
          <cell r="AY125">
            <v>0</v>
          </cell>
          <cell r="AZ125">
            <v>66.594551086425781</v>
          </cell>
          <cell r="BA125">
            <v>-6.8405438214540482E-3</v>
          </cell>
          <cell r="BB125">
            <v>-1.4302955009043217E-2</v>
          </cell>
          <cell r="BC125">
            <v>-7.2966545820236206E-2</v>
          </cell>
          <cell r="BD125">
            <v>69.406501770019531</v>
          </cell>
          <cell r="BE125">
            <v>62.981197357177734</v>
          </cell>
          <cell r="BF125">
            <v>41.873188018798828</v>
          </cell>
          <cell r="BG125">
            <v>86.271148681640625</v>
          </cell>
          <cell r="BH125">
            <v>39.474189758300781</v>
          </cell>
          <cell r="BI125">
            <v>87.35302734375</v>
          </cell>
          <cell r="BL125">
            <v>848.40897047887017</v>
          </cell>
          <cell r="BM125">
            <v>1009.0993272446417</v>
          </cell>
          <cell r="BN125">
            <v>59.875171661376953</v>
          </cell>
          <cell r="BO125">
            <v>58.867866516113281</v>
          </cell>
          <cell r="BP125">
            <v>174.93228149414062</v>
          </cell>
          <cell r="BQ125">
            <v>43.647850036621094</v>
          </cell>
          <cell r="BR125">
            <v>33.351066589355469</v>
          </cell>
          <cell r="BS125">
            <v>0</v>
          </cell>
          <cell r="BT125">
            <v>57.708198547363281</v>
          </cell>
          <cell r="BU125">
            <v>33.895301818847656</v>
          </cell>
          <cell r="BV125">
            <v>6.2443891591353676E-3</v>
          </cell>
          <cell r="BW125">
            <v>74.435783386230469</v>
          </cell>
          <cell r="BX125">
            <v>33.081657409667969</v>
          </cell>
          <cell r="BY125">
            <v>7.1097036980878894E-2</v>
          </cell>
          <cell r="BZ125">
            <v>480.16456990167825</v>
          </cell>
          <cell r="CA125">
            <v>1129.5934944362641</v>
          </cell>
          <cell r="CB125">
            <v>30.48510446112244</v>
          </cell>
          <cell r="CC125">
            <v>34.64197550707393</v>
          </cell>
          <cell r="CD125">
            <v>4776.187027518944</v>
          </cell>
        </row>
        <row r="126">
          <cell r="T126">
            <v>3707.3249999999998</v>
          </cell>
          <cell r="U126">
            <v>3055.5</v>
          </cell>
          <cell r="V126">
            <v>651.82500000000005</v>
          </cell>
          <cell r="AF126">
            <v>0</v>
          </cell>
          <cell r="AN126">
            <v>41023</v>
          </cell>
          <cell r="AO126">
            <v>12152853</v>
          </cell>
          <cell r="AP126">
            <v>40.05279541015625</v>
          </cell>
          <cell r="AQ126">
            <v>67.277595520019531</v>
          </cell>
          <cell r="AR126">
            <v>3872668.25</v>
          </cell>
          <cell r="AS126">
            <v>35.77880859375</v>
          </cell>
          <cell r="AT126">
            <v>34.302326202392578</v>
          </cell>
          <cell r="AU126">
            <v>18853.001300462511</v>
          </cell>
          <cell r="AV126">
            <v>16.224056243896484</v>
          </cell>
          <cell r="AW126">
            <v>351.4437255859375</v>
          </cell>
          <cell r="AX126">
            <v>11.469332695007324</v>
          </cell>
          <cell r="AY126">
            <v>0</v>
          </cell>
          <cell r="AZ126">
            <v>-1.3784732669591904E-2</v>
          </cell>
          <cell r="BA126">
            <v>65.335746765136719</v>
          </cell>
          <cell r="BB126">
            <v>-1.4302955009043217E-2</v>
          </cell>
          <cell r="BC126">
            <v>-7.2966545820236206E-2</v>
          </cell>
          <cell r="BD126">
            <v>60.938995361328125</v>
          </cell>
          <cell r="BE126">
            <v>63.043087005615234</v>
          </cell>
          <cell r="BF126">
            <v>36.885017395019531</v>
          </cell>
          <cell r="BG126">
            <v>84.708465576171875</v>
          </cell>
          <cell r="BH126">
            <v>34.452953338623047</v>
          </cell>
          <cell r="BI126">
            <v>85.828010559082031</v>
          </cell>
          <cell r="BL126">
            <v>842.22123435726871</v>
          </cell>
          <cell r="BM126">
            <v>1009.7534644135156</v>
          </cell>
          <cell r="BN126">
            <v>56.388717651367188</v>
          </cell>
          <cell r="BO126">
            <v>55.39007568359375</v>
          </cell>
          <cell r="BP126">
            <v>174.83403015136719</v>
          </cell>
          <cell r="BQ126">
            <v>45.571964263916016</v>
          </cell>
          <cell r="BR126">
            <v>32.947113037109375</v>
          </cell>
          <cell r="BS126">
            <v>0</v>
          </cell>
          <cell r="BT126">
            <v>57.656455993652344</v>
          </cell>
          <cell r="BU126">
            <v>32.797618865966797</v>
          </cell>
          <cell r="BV126">
            <v>1.0142495349123377</v>
          </cell>
          <cell r="BW126">
            <v>74.455551147460937</v>
          </cell>
          <cell r="BX126">
            <v>32.88031005859375</v>
          </cell>
          <cell r="BY126">
            <v>0.12598795551677111</v>
          </cell>
          <cell r="BZ126">
            <v>460.17545860640212</v>
          </cell>
          <cell r="CA126">
            <v>1075.1933710043165</v>
          </cell>
          <cell r="CB126">
            <v>32.312815539167993</v>
          </cell>
          <cell r="CC126">
            <v>34.559838581482566</v>
          </cell>
          <cell r="CD126">
            <v>5038.7238483626752</v>
          </cell>
        </row>
        <row r="127">
          <cell r="T127">
            <v>4112.3249999999998</v>
          </cell>
          <cell r="U127">
            <v>3460.5</v>
          </cell>
          <cell r="V127">
            <v>651.82500000000005</v>
          </cell>
          <cell r="AF127">
            <v>0</v>
          </cell>
          <cell r="AN127">
            <v>41024</v>
          </cell>
          <cell r="AO127">
            <v>12422098</v>
          </cell>
          <cell r="AP127">
            <v>38.398281097412109</v>
          </cell>
          <cell r="AQ127">
            <v>66.668609619140625</v>
          </cell>
          <cell r="AR127">
            <v>3987883</v>
          </cell>
          <cell r="AS127">
            <v>31.585693359375</v>
          </cell>
          <cell r="AT127">
            <v>34.689136505126953</v>
          </cell>
          <cell r="AU127">
            <v>18770.438946472168</v>
          </cell>
          <cell r="AV127">
            <v>15.28813648223877</v>
          </cell>
          <cell r="AW127">
            <v>10.73252010345459</v>
          </cell>
          <cell r="AX127">
            <v>425.5830078125</v>
          </cell>
          <cell r="AY127">
            <v>0</v>
          </cell>
          <cell r="AZ127">
            <v>-1.3784732669591904E-2</v>
          </cell>
          <cell r="BA127">
            <v>-1.179245300590992E-2</v>
          </cell>
          <cell r="BB127">
            <v>69.975730895996094</v>
          </cell>
          <cell r="BC127">
            <v>-7.2966545820236206E-2</v>
          </cell>
          <cell r="BD127">
            <v>61.460590362548828</v>
          </cell>
          <cell r="BE127">
            <v>63.283393859863281</v>
          </cell>
          <cell r="BF127">
            <v>31.492544174194336</v>
          </cell>
          <cell r="BG127">
            <v>92.192970275878906</v>
          </cell>
          <cell r="BH127">
            <v>29.198343276977539</v>
          </cell>
          <cell r="BI127">
            <v>90.399139404296875</v>
          </cell>
          <cell r="BL127">
            <v>869.93408187986302</v>
          </cell>
          <cell r="BM127">
            <v>1004.5272523530438</v>
          </cell>
          <cell r="BN127">
            <v>53.607048034667969</v>
          </cell>
          <cell r="BO127">
            <v>52.607177734375</v>
          </cell>
          <cell r="BP127">
            <v>174.63919067382812</v>
          </cell>
          <cell r="BQ127">
            <v>45.664436340332031</v>
          </cell>
          <cell r="BR127">
            <v>32.980278015136719</v>
          </cell>
          <cell r="BS127">
            <v>0</v>
          </cell>
          <cell r="BT127">
            <v>57.627326965332031</v>
          </cell>
          <cell r="BU127">
            <v>32.855274200439453</v>
          </cell>
          <cell r="BV127">
            <v>1.3601843002444727E-16</v>
          </cell>
          <cell r="BW127">
            <v>74.453987121582031</v>
          </cell>
          <cell r="BX127">
            <v>32.8134765625</v>
          </cell>
          <cell r="BY127">
            <v>7.1717036471818568E-2</v>
          </cell>
          <cell r="BZ127">
            <v>479.99862711136427</v>
          </cell>
          <cell r="CA127">
            <v>1086.8276680159393</v>
          </cell>
          <cell r="CB127">
            <v>35.822323598495231</v>
          </cell>
          <cell r="CC127">
            <v>34.611861215913734</v>
          </cell>
          <cell r="CD127">
            <v>5041.7737811211482</v>
          </cell>
        </row>
        <row r="128">
          <cell r="T128">
            <v>2816.3249999999998</v>
          </cell>
          <cell r="U128">
            <v>2164.5</v>
          </cell>
          <cell r="V128">
            <v>651.82500000000005</v>
          </cell>
          <cell r="AF128">
            <v>1830</v>
          </cell>
          <cell r="AN128">
            <v>41025</v>
          </cell>
          <cell r="AO128">
            <v>12758080</v>
          </cell>
          <cell r="AP128">
            <v>39.601581573486328</v>
          </cell>
          <cell r="AQ128">
            <v>66.078102111816406</v>
          </cell>
          <cell r="AR128">
            <v>4103040.75</v>
          </cell>
          <cell r="AS128">
            <v>27.886962890625</v>
          </cell>
          <cell r="AT128">
            <v>34.766178131103516</v>
          </cell>
          <cell r="AU128">
            <v>18763.988691363298</v>
          </cell>
          <cell r="AV128">
            <v>345.60269165039063</v>
          </cell>
          <cell r="AW128">
            <v>11.401362419128418</v>
          </cell>
          <cell r="AX128">
            <v>6.6376833915710449</v>
          </cell>
          <cell r="AY128">
            <v>0</v>
          </cell>
          <cell r="AZ128">
            <v>61.943870544433594</v>
          </cell>
          <cell r="BA128">
            <v>-1.179245300590992E-2</v>
          </cell>
          <cell r="BB128">
            <v>-1.5074531547725201E-2</v>
          </cell>
          <cell r="BC128">
            <v>-7.2966545820236206E-2</v>
          </cell>
          <cell r="BD128">
            <v>62.895389556884766</v>
          </cell>
          <cell r="BE128">
            <v>63.435859680175781</v>
          </cell>
          <cell r="BF128">
            <v>29.035684585571289</v>
          </cell>
          <cell r="BG128">
            <v>97.850250244140625</v>
          </cell>
          <cell r="BH128">
            <v>26.715633392333984</v>
          </cell>
          <cell r="BI128">
            <v>92.129653930664063</v>
          </cell>
          <cell r="BL128">
            <v>813.04930047639209</v>
          </cell>
          <cell r="BM128">
            <v>802.28781669431828</v>
          </cell>
          <cell r="BN128">
            <v>53.109542846679688</v>
          </cell>
          <cell r="BO128">
            <v>52.077972412109375</v>
          </cell>
          <cell r="BP128">
            <v>174.67036437988281</v>
          </cell>
          <cell r="BQ128">
            <v>45.569469451904297</v>
          </cell>
          <cell r="BR128">
            <v>33.025169372558594</v>
          </cell>
          <cell r="BS128">
            <v>0</v>
          </cell>
          <cell r="BT128">
            <v>57.772472381591797</v>
          </cell>
          <cell r="BU128">
            <v>33.217174530029297</v>
          </cell>
          <cell r="BV128">
            <v>1.3601843002444727E-16</v>
          </cell>
          <cell r="BW128">
            <v>74.465766906738281</v>
          </cell>
          <cell r="BX128">
            <v>32.872158050537109</v>
          </cell>
          <cell r="BY128">
            <v>0.15322634185200645</v>
          </cell>
          <cell r="BZ128">
            <v>468.01971487907122</v>
          </cell>
          <cell r="CA128">
            <v>1168.9766440849305</v>
          </cell>
          <cell r="CB128">
            <v>33.41654603121016</v>
          </cell>
          <cell r="CC128">
            <v>34.654557768852627</v>
          </cell>
          <cell r="CD128">
            <v>5343.4124294207531</v>
          </cell>
        </row>
        <row r="129">
          <cell r="T129">
            <v>2825.3249999999998</v>
          </cell>
          <cell r="U129">
            <v>2173.5</v>
          </cell>
          <cell r="V129">
            <v>651.82500000000005</v>
          </cell>
          <cell r="AF129">
            <v>600</v>
          </cell>
          <cell r="AN129">
            <v>41026</v>
          </cell>
          <cell r="AO129">
            <v>13093884</v>
          </cell>
          <cell r="AP129">
            <v>40.884052276611328</v>
          </cell>
          <cell r="AQ129">
            <v>66.059013366699219</v>
          </cell>
          <cell r="AR129">
            <v>4218200.5</v>
          </cell>
          <cell r="AS129">
            <v>24.01123046875</v>
          </cell>
          <cell r="AT129">
            <v>34.956470489501953</v>
          </cell>
          <cell r="AU129">
            <v>18768.10829735424</v>
          </cell>
          <cell r="AV129">
            <v>16.222200393676758</v>
          </cell>
          <cell r="AW129">
            <v>215.70884704589844</v>
          </cell>
          <cell r="AX129">
            <v>7.4707012176513672</v>
          </cell>
          <cell r="AY129">
            <v>0</v>
          </cell>
          <cell r="AZ129">
            <v>-1.3519862666726112E-2</v>
          </cell>
          <cell r="BA129">
            <v>27.975221633911133</v>
          </cell>
          <cell r="BB129">
            <v>-1.5074531547725201E-2</v>
          </cell>
          <cell r="BC129">
            <v>-7.2966545820236206E-2</v>
          </cell>
          <cell r="BD129">
            <v>62.736846923828125</v>
          </cell>
          <cell r="BE129">
            <v>63.974174499511719</v>
          </cell>
          <cell r="BF129">
            <v>26.176929473876953</v>
          </cell>
          <cell r="BG129">
            <v>97.931526184082031</v>
          </cell>
          <cell r="BH129">
            <v>23.876855850219727</v>
          </cell>
          <cell r="BI129">
            <v>89.742279052734375</v>
          </cell>
          <cell r="BL129">
            <v>772.40713391106215</v>
          </cell>
          <cell r="BM129">
            <v>803.85003985909714</v>
          </cell>
          <cell r="BN129">
            <v>51.899551391601562</v>
          </cell>
          <cell r="BO129">
            <v>50.928245544433594</v>
          </cell>
          <cell r="BP129">
            <v>174.9437255859375</v>
          </cell>
          <cell r="BQ129">
            <v>54.595500946044922</v>
          </cell>
          <cell r="BR129">
            <v>33.842304229736328</v>
          </cell>
          <cell r="BS129">
            <v>0</v>
          </cell>
          <cell r="BT129">
            <v>57.844795227050781</v>
          </cell>
          <cell r="BU129">
            <v>33.704669952392578</v>
          </cell>
          <cell r="BV129">
            <v>1.3601843002444727E-16</v>
          </cell>
          <cell r="BW129">
            <v>74.468269348144531</v>
          </cell>
          <cell r="BX129">
            <v>33.252601623535156</v>
          </cell>
          <cell r="BY129">
            <v>4.3440782820586207E-2</v>
          </cell>
          <cell r="BZ129">
            <v>490.42529273107323</v>
          </cell>
          <cell r="CA129">
            <v>1099.0542031038779</v>
          </cell>
          <cell r="CB129">
            <v>32.420733045619947</v>
          </cell>
          <cell r="CC129">
            <v>34.71944474554504</v>
          </cell>
          <cell r="CD129">
            <v>5115.1715863042764</v>
          </cell>
        </row>
        <row r="130">
          <cell r="T130">
            <v>3377.3249999999998</v>
          </cell>
          <cell r="U130">
            <v>2725.5</v>
          </cell>
          <cell r="V130">
            <v>651.82500000000005</v>
          </cell>
          <cell r="AF130">
            <v>0</v>
          </cell>
          <cell r="AN130">
            <v>41027</v>
          </cell>
          <cell r="AO130">
            <v>13384576</v>
          </cell>
          <cell r="AP130">
            <v>33.403778076171875</v>
          </cell>
          <cell r="AQ130">
            <v>66.261421203613281</v>
          </cell>
          <cell r="AR130">
            <v>4342473</v>
          </cell>
          <cell r="AS130">
            <v>25.762939453125</v>
          </cell>
          <cell r="AT130">
            <v>34.398136138916016</v>
          </cell>
          <cell r="AU130">
            <v>18785.379773150409</v>
          </cell>
          <cell r="AV130">
            <v>15.66670036315918</v>
          </cell>
          <cell r="AW130">
            <v>11.216901779174805</v>
          </cell>
          <cell r="AX130">
            <v>126.79704284667969</v>
          </cell>
          <cell r="AY130">
            <v>3.7339362315833569E-3</v>
          </cell>
          <cell r="AZ130">
            <v>-1.3519862666726112E-2</v>
          </cell>
          <cell r="BA130">
            <v>-1.179245300590992E-2</v>
          </cell>
          <cell r="BB130">
            <v>5.381223201751709</v>
          </cell>
          <cell r="BC130">
            <v>-7.2966545820236206E-2</v>
          </cell>
          <cell r="BD130">
            <v>69.873542785644531</v>
          </cell>
          <cell r="BE130">
            <v>63.665721893310547</v>
          </cell>
          <cell r="BF130">
            <v>22.813016891479492</v>
          </cell>
          <cell r="BG130">
            <v>94.572036743164063</v>
          </cell>
          <cell r="BH130">
            <v>20.484821319580078</v>
          </cell>
          <cell r="BI130">
            <v>86.460365295410156</v>
          </cell>
          <cell r="BL130">
            <v>713.07856287147388</v>
          </cell>
          <cell r="BM130">
            <v>801.30723307681353</v>
          </cell>
          <cell r="BN130">
            <v>49.730915069580078</v>
          </cell>
          <cell r="BO130">
            <v>48.618370056152344</v>
          </cell>
          <cell r="BP130">
            <v>175.13340759277344</v>
          </cell>
          <cell r="BQ130">
            <v>54.561790466308594</v>
          </cell>
          <cell r="BR130">
            <v>33.114799499511719</v>
          </cell>
          <cell r="BS130">
            <v>0</v>
          </cell>
          <cell r="BT130">
            <v>57.855609893798828</v>
          </cell>
          <cell r="BU130">
            <v>32.841190338134766</v>
          </cell>
          <cell r="BV130">
            <v>1.3601843002444727E-16</v>
          </cell>
          <cell r="BW130">
            <v>74.418197631835938</v>
          </cell>
          <cell r="BX130">
            <v>32.592735290527344</v>
          </cell>
          <cell r="BY130">
            <v>3.7531085725377356</v>
          </cell>
          <cell r="BZ130">
            <v>449.30988606491798</v>
          </cell>
          <cell r="CA130">
            <v>1074.6233307233033</v>
          </cell>
          <cell r="CB130">
            <v>24.402308358472805</v>
          </cell>
          <cell r="CC130">
            <v>34.564861568314058</v>
          </cell>
          <cell r="CD130">
            <v>5234.7912234208852</v>
          </cell>
        </row>
        <row r="131">
          <cell r="T131">
            <v>3744.8249999999998</v>
          </cell>
          <cell r="U131">
            <v>3361.5</v>
          </cell>
          <cell r="V131">
            <v>383.32500000000005</v>
          </cell>
          <cell r="AF131">
            <v>0</v>
          </cell>
          <cell r="AN131">
            <v>41028</v>
          </cell>
          <cell r="AO131">
            <v>13678878</v>
          </cell>
          <cell r="AP131">
            <v>29.764228820800781</v>
          </cell>
          <cell r="AQ131">
            <v>66.050247192382812</v>
          </cell>
          <cell r="AR131">
            <v>4467269.5</v>
          </cell>
          <cell r="AS131">
            <v>25.927734375</v>
          </cell>
          <cell r="AT131">
            <v>34.291580200195313</v>
          </cell>
          <cell r="AU131">
            <v>18836.058795970774</v>
          </cell>
          <cell r="AV131">
            <v>213.3123779296875</v>
          </cell>
          <cell r="AW131">
            <v>12.059474945068359</v>
          </cell>
          <cell r="AX131">
            <v>8.9798555374145508</v>
          </cell>
          <cell r="AY131">
            <v>0.4310833215713501</v>
          </cell>
          <cell r="AZ131">
            <v>28.967550277709961</v>
          </cell>
          <cell r="BA131">
            <v>-1.179245300590992E-2</v>
          </cell>
          <cell r="BB131">
            <v>-1.4602372422814369E-2</v>
          </cell>
          <cell r="BC131">
            <v>86.566749572753906</v>
          </cell>
          <cell r="BD131">
            <v>61.359722137451172</v>
          </cell>
          <cell r="BE131">
            <v>63.816635131835938</v>
          </cell>
          <cell r="BF131">
            <v>19.229061126708984</v>
          </cell>
          <cell r="BG131">
            <v>91.51123046875</v>
          </cell>
          <cell r="BH131">
            <v>18.005840301513672</v>
          </cell>
          <cell r="BI131">
            <v>83.507438659667969</v>
          </cell>
          <cell r="BL131">
            <v>695.53257302637451</v>
          </cell>
          <cell r="BM131">
            <v>802.17784153424395</v>
          </cell>
          <cell r="BN131">
            <v>47.217323303222656</v>
          </cell>
          <cell r="BO131">
            <v>46.210231781005859</v>
          </cell>
          <cell r="BP131">
            <v>174.83712768554687</v>
          </cell>
          <cell r="BQ131">
            <v>54.496658325195313</v>
          </cell>
          <cell r="BR131">
            <v>33.239410400390625</v>
          </cell>
          <cell r="BS131">
            <v>0</v>
          </cell>
          <cell r="BT131">
            <v>57.977737426757813</v>
          </cell>
          <cell r="BU131">
            <v>33.372711181640625</v>
          </cell>
          <cell r="BV131">
            <v>1.3601843002444727E-16</v>
          </cell>
          <cell r="BW131">
            <v>74.425010681152344</v>
          </cell>
          <cell r="BX131">
            <v>32.889072418212891</v>
          </cell>
          <cell r="BY131">
            <v>5.0306738335811445E-2</v>
          </cell>
          <cell r="BZ131">
            <v>462.48842199245496</v>
          </cell>
          <cell r="CA131">
            <v>1106.056398778986</v>
          </cell>
          <cell r="CB131">
            <v>19.250507847432186</v>
          </cell>
          <cell r="CC131">
            <v>34.664413856429086</v>
          </cell>
          <cell r="CD131">
            <v>4993.4322963064687</v>
          </cell>
        </row>
        <row r="132">
          <cell r="T132">
            <v>1337.325</v>
          </cell>
          <cell r="U132">
            <v>946.5</v>
          </cell>
          <cell r="V132">
            <v>390.82500000000005</v>
          </cell>
          <cell r="AF132">
            <v>2940</v>
          </cell>
          <cell r="AN132">
            <v>41029</v>
          </cell>
          <cell r="AO132">
            <v>14014873</v>
          </cell>
          <cell r="AP132">
            <v>29.989826202392578</v>
          </cell>
          <cell r="AQ132">
            <v>65.5810546875</v>
          </cell>
          <cell r="AR132">
            <v>4592071.5</v>
          </cell>
          <cell r="AS132">
            <v>27.227783203125</v>
          </cell>
          <cell r="AT132">
            <v>34.299770355224609</v>
          </cell>
          <cell r="AU132">
            <v>18679.521274323641</v>
          </cell>
          <cell r="AV132">
            <v>16.470081329345703</v>
          </cell>
          <cell r="AW132">
            <v>153.01066589355469</v>
          </cell>
          <cell r="AX132">
            <v>109.5509033203125</v>
          </cell>
          <cell r="AY132">
            <v>0.93848025798797607</v>
          </cell>
          <cell r="AZ132">
            <v>-1.4279924333095551E-2</v>
          </cell>
          <cell r="BA132">
            <v>8.6599445343017578</v>
          </cell>
          <cell r="BB132">
            <v>-1.4602372422814369E-2</v>
          </cell>
          <cell r="BC132">
            <v>-7.2914041578769684E-2</v>
          </cell>
          <cell r="BD132">
            <v>62.956893920898438</v>
          </cell>
          <cell r="BE132">
            <v>63.407207489013672</v>
          </cell>
          <cell r="BF132">
            <v>17.032306671142578</v>
          </cell>
          <cell r="BG132">
            <v>88.413917541503906</v>
          </cell>
          <cell r="BH132">
            <v>14.477004051208496</v>
          </cell>
          <cell r="BI132">
            <v>80.211265563964844</v>
          </cell>
          <cell r="BL132">
            <v>734.66860420820444</v>
          </cell>
          <cell r="BM132">
            <v>800.62520614931498</v>
          </cell>
          <cell r="BN132">
            <v>45.449344635009766</v>
          </cell>
          <cell r="BO132">
            <v>44.287525177001953</v>
          </cell>
          <cell r="BP132">
            <v>174.67413330078125</v>
          </cell>
          <cell r="BQ132">
            <v>54.501235961914063</v>
          </cell>
          <cell r="BR132">
            <v>33.164505004882812</v>
          </cell>
          <cell r="BS132">
            <v>0</v>
          </cell>
          <cell r="BT132">
            <v>57.959861755371094</v>
          </cell>
          <cell r="BU132">
            <v>32.84344482421875</v>
          </cell>
          <cell r="BV132">
            <v>1.1207534990573054E-3</v>
          </cell>
          <cell r="BW132">
            <v>74.46478271484375</v>
          </cell>
          <cell r="BX132">
            <v>32.609531402587891</v>
          </cell>
          <cell r="BY132">
            <v>1.1726910692930501</v>
          </cell>
          <cell r="BZ132">
            <v>449.98952689600583</v>
          </cell>
          <cell r="CA132">
            <v>1155.7308544702883</v>
          </cell>
          <cell r="CB132">
            <v>16.347572039688625</v>
          </cell>
          <cell r="CC132">
            <v>34.584582235559267</v>
          </cell>
          <cell r="CD132">
            <v>4546.3423335927328</v>
          </cell>
        </row>
        <row r="133">
          <cell r="T133">
            <v>1834.575</v>
          </cell>
          <cell r="U133">
            <v>1443</v>
          </cell>
          <cell r="V133">
            <v>391.57500000000005</v>
          </cell>
          <cell r="AF133">
            <v>0</v>
          </cell>
        </row>
        <row r="134">
          <cell r="T134">
            <v>2221.5749999999998</v>
          </cell>
          <cell r="U134">
            <v>1813.5</v>
          </cell>
          <cell r="V134">
            <v>408.07500000000005</v>
          </cell>
          <cell r="AF134">
            <v>0</v>
          </cell>
        </row>
        <row r="135">
          <cell r="T135">
            <v>1563.075</v>
          </cell>
          <cell r="U135">
            <v>1405.5</v>
          </cell>
          <cell r="V135">
            <v>157.57500000000005</v>
          </cell>
          <cell r="AF135">
            <v>1170</v>
          </cell>
        </row>
        <row r="136">
          <cell r="T136">
            <v>1672.575</v>
          </cell>
          <cell r="U136">
            <v>1515</v>
          </cell>
          <cell r="V136">
            <v>157.57500000000005</v>
          </cell>
          <cell r="AF136">
            <v>0</v>
          </cell>
        </row>
        <row r="137">
          <cell r="T137">
            <v>1672.575</v>
          </cell>
          <cell r="U137">
            <v>1515</v>
          </cell>
          <cell r="V137">
            <v>157.57500000000005</v>
          </cell>
          <cell r="AF137">
            <v>0</v>
          </cell>
        </row>
        <row r="138">
          <cell r="T138">
            <v>1462.575</v>
          </cell>
          <cell r="U138">
            <v>1305</v>
          </cell>
          <cell r="V138">
            <v>157.57500000000005</v>
          </cell>
          <cell r="AF138">
            <v>210</v>
          </cell>
        </row>
        <row r="139">
          <cell r="T139">
            <v>759.07500000000005</v>
          </cell>
          <cell r="U139">
            <v>601.5</v>
          </cell>
          <cell r="V139">
            <v>157.57500000000005</v>
          </cell>
          <cell r="AF139">
            <v>810</v>
          </cell>
        </row>
        <row r="140">
          <cell r="T140">
            <v>910.57500000000005</v>
          </cell>
          <cell r="U140">
            <v>753</v>
          </cell>
          <cell r="V140">
            <v>157.57500000000005</v>
          </cell>
          <cell r="AF140">
            <v>300</v>
          </cell>
        </row>
        <row r="141">
          <cell r="T141">
            <v>1381.575</v>
          </cell>
          <cell r="U141">
            <v>1224</v>
          </cell>
          <cell r="V141">
            <v>157.57500000000005</v>
          </cell>
          <cell r="AF141">
            <v>0</v>
          </cell>
        </row>
        <row r="142">
          <cell r="T142">
            <v>1861.575</v>
          </cell>
          <cell r="U142">
            <v>1704</v>
          </cell>
          <cell r="V142">
            <v>157.57500000000005</v>
          </cell>
          <cell r="AF142">
            <v>0</v>
          </cell>
        </row>
        <row r="143">
          <cell r="T143">
            <v>2289.8249999999998</v>
          </cell>
          <cell r="U143">
            <v>2132.25</v>
          </cell>
          <cell r="V143">
            <v>157.57500000000005</v>
          </cell>
          <cell r="AF143">
            <v>0</v>
          </cell>
        </row>
        <row r="144">
          <cell r="T144">
            <v>2793.0749999999998</v>
          </cell>
          <cell r="U144">
            <v>2635.5</v>
          </cell>
          <cell r="V144">
            <v>157.57500000000005</v>
          </cell>
          <cell r="AF144">
            <v>0</v>
          </cell>
        </row>
        <row r="145">
          <cell r="T145">
            <v>3264.0749999999998</v>
          </cell>
          <cell r="U145">
            <v>3106.5</v>
          </cell>
          <cell r="V145">
            <v>157.57500000000005</v>
          </cell>
          <cell r="AF145">
            <v>0</v>
          </cell>
        </row>
        <row r="146">
          <cell r="T146">
            <v>3747.0749999999998</v>
          </cell>
          <cell r="U146">
            <v>3581.25</v>
          </cell>
          <cell r="V146">
            <v>165.82500000000005</v>
          </cell>
          <cell r="AF146">
            <v>0</v>
          </cell>
        </row>
        <row r="147">
          <cell r="T147">
            <v>3258.8249999999998</v>
          </cell>
          <cell r="U147">
            <v>3090.75</v>
          </cell>
          <cell r="V147">
            <v>168.07500000000005</v>
          </cell>
          <cell r="AF147">
            <v>930</v>
          </cell>
        </row>
        <row r="148">
          <cell r="T148">
            <v>3760.5749999999998</v>
          </cell>
          <cell r="U148">
            <v>3592.5</v>
          </cell>
          <cell r="V148">
            <v>168.07500000000005</v>
          </cell>
          <cell r="AF148">
            <v>0</v>
          </cell>
        </row>
        <row r="149">
          <cell r="T149">
            <v>4237.5749999999998</v>
          </cell>
          <cell r="U149">
            <v>4080</v>
          </cell>
          <cell r="V149">
            <v>157.57500000000005</v>
          </cell>
          <cell r="AF149">
            <v>0</v>
          </cell>
        </row>
        <row r="150">
          <cell r="T150">
            <v>4189.5749999999998</v>
          </cell>
          <cell r="U150">
            <v>4032</v>
          </cell>
          <cell r="V150">
            <v>157.57500000000005</v>
          </cell>
          <cell r="AF150">
            <v>525</v>
          </cell>
        </row>
        <row r="151">
          <cell r="T151">
            <v>4531.5749999999998</v>
          </cell>
          <cell r="U151">
            <v>4374</v>
          </cell>
          <cell r="V151">
            <v>157.57500000000005</v>
          </cell>
          <cell r="AF151">
            <v>0</v>
          </cell>
        </row>
        <row r="152">
          <cell r="T152">
            <v>5026.5749999999998</v>
          </cell>
          <cell r="U152">
            <v>4869</v>
          </cell>
          <cell r="V152">
            <v>157.57500000000005</v>
          </cell>
          <cell r="AF152">
            <v>0</v>
          </cell>
        </row>
        <row r="153">
          <cell r="T153">
            <v>4147.5749999999998</v>
          </cell>
          <cell r="U153">
            <v>3990</v>
          </cell>
          <cell r="V153">
            <v>157.57500000000005</v>
          </cell>
          <cell r="AF153">
            <v>1380</v>
          </cell>
        </row>
        <row r="154">
          <cell r="T154">
            <v>4587.0749999999998</v>
          </cell>
          <cell r="U154">
            <v>4429.5</v>
          </cell>
          <cell r="V154">
            <v>157.57500000000005</v>
          </cell>
          <cell r="AF154">
            <v>0</v>
          </cell>
        </row>
        <row r="155">
          <cell r="T155">
            <v>4935.0749999999998</v>
          </cell>
          <cell r="U155">
            <v>4786.5</v>
          </cell>
          <cell r="V155">
            <v>148.57500000000005</v>
          </cell>
          <cell r="AF155">
            <v>0</v>
          </cell>
        </row>
        <row r="156">
          <cell r="T156">
            <v>3162.0749999999998</v>
          </cell>
          <cell r="U156">
            <v>3013.5</v>
          </cell>
          <cell r="V156">
            <v>148.57500000000005</v>
          </cell>
          <cell r="AF156">
            <v>2190</v>
          </cell>
        </row>
        <row r="157">
          <cell r="T157">
            <v>3027.0749999999998</v>
          </cell>
          <cell r="U157">
            <v>2878.5</v>
          </cell>
          <cell r="V157">
            <v>148.57500000000005</v>
          </cell>
          <cell r="AF157">
            <v>510</v>
          </cell>
        </row>
        <row r="158">
          <cell r="T158">
            <v>3508.5749999999998</v>
          </cell>
          <cell r="U158">
            <v>3360</v>
          </cell>
          <cell r="V158">
            <v>148.57500000000005</v>
          </cell>
          <cell r="AF158">
            <v>0</v>
          </cell>
        </row>
        <row r="159">
          <cell r="T159">
            <v>4017.0749999999998</v>
          </cell>
          <cell r="U159">
            <v>3868.5</v>
          </cell>
          <cell r="V159">
            <v>148.57500000000005</v>
          </cell>
          <cell r="AF159">
            <v>0</v>
          </cell>
        </row>
        <row r="160">
          <cell r="T160">
            <v>4477.5749999999998</v>
          </cell>
          <cell r="U160">
            <v>4329</v>
          </cell>
          <cell r="V160">
            <v>148.57500000000005</v>
          </cell>
          <cell r="AF160">
            <v>0</v>
          </cell>
        </row>
        <row r="161">
          <cell r="T161">
            <v>4947.8249999999998</v>
          </cell>
          <cell r="U161">
            <v>4811.25</v>
          </cell>
          <cell r="V161">
            <v>136.57500000000005</v>
          </cell>
          <cell r="AF161">
            <v>0</v>
          </cell>
        </row>
        <row r="162">
          <cell r="T162">
            <v>5442.0749999999998</v>
          </cell>
          <cell r="U162">
            <v>5305.5</v>
          </cell>
          <cell r="V162">
            <v>136.57500000000005</v>
          </cell>
          <cell r="AF162">
            <v>0</v>
          </cell>
        </row>
        <row r="163">
          <cell r="T163">
            <v>3480.0749999999998</v>
          </cell>
          <cell r="U163">
            <v>3355.5</v>
          </cell>
          <cell r="V163">
            <v>124.57500000000005</v>
          </cell>
          <cell r="AF163">
            <v>2460</v>
          </cell>
        </row>
        <row r="164">
          <cell r="T164">
            <v>3850.5749999999998</v>
          </cell>
          <cell r="U164">
            <v>3726</v>
          </cell>
          <cell r="V164">
            <v>124.57500000000005</v>
          </cell>
          <cell r="AF164">
            <v>0</v>
          </cell>
        </row>
        <row r="165">
          <cell r="T165">
            <v>4248.0749999999998</v>
          </cell>
          <cell r="U165">
            <v>4123.5</v>
          </cell>
          <cell r="V165">
            <v>124.57500000000005</v>
          </cell>
          <cell r="AF165">
            <v>0</v>
          </cell>
        </row>
        <row r="166">
          <cell r="T166">
            <v>4549.5749999999998</v>
          </cell>
          <cell r="U166">
            <v>4425</v>
          </cell>
          <cell r="V166">
            <v>124.57500000000005</v>
          </cell>
          <cell r="AF166">
            <v>0</v>
          </cell>
        </row>
        <row r="167">
          <cell r="T167">
            <v>4957.5749999999998</v>
          </cell>
          <cell r="U167">
            <v>4845</v>
          </cell>
          <cell r="V167">
            <v>112.57500000000005</v>
          </cell>
          <cell r="AF167">
            <v>0</v>
          </cell>
        </row>
        <row r="168">
          <cell r="T168">
            <v>4813.5749999999998</v>
          </cell>
          <cell r="U168">
            <v>4701</v>
          </cell>
          <cell r="V168">
            <v>112.57500000000005</v>
          </cell>
          <cell r="AF168">
            <v>600</v>
          </cell>
        </row>
        <row r="169">
          <cell r="T169">
            <v>5257.5749999999998</v>
          </cell>
          <cell r="U169">
            <v>5145</v>
          </cell>
          <cell r="V169">
            <v>112.57500000000005</v>
          </cell>
          <cell r="AF169">
            <v>0</v>
          </cell>
        </row>
        <row r="170">
          <cell r="T170">
            <v>4065.0749999999998</v>
          </cell>
          <cell r="U170">
            <v>3952.5</v>
          </cell>
          <cell r="V170">
            <v>112.57500000000005</v>
          </cell>
          <cell r="AF170">
            <v>1620</v>
          </cell>
        </row>
        <row r="171">
          <cell r="T171">
            <v>4027.5749999999998</v>
          </cell>
          <cell r="U171">
            <v>3927</v>
          </cell>
          <cell r="V171">
            <v>100.57500000000005</v>
          </cell>
          <cell r="AF171">
            <v>510</v>
          </cell>
        </row>
        <row r="172">
          <cell r="T172">
            <v>4492.5749999999998</v>
          </cell>
          <cell r="U172">
            <v>4392</v>
          </cell>
          <cell r="V172">
            <v>100.57500000000005</v>
          </cell>
          <cell r="AF172">
            <v>0</v>
          </cell>
        </row>
        <row r="173">
          <cell r="T173">
            <v>4969.5749999999998</v>
          </cell>
          <cell r="U173">
            <v>4869</v>
          </cell>
          <cell r="V173">
            <v>100.57500000000005</v>
          </cell>
          <cell r="AF173">
            <v>0</v>
          </cell>
        </row>
        <row r="174">
          <cell r="T174">
            <v>5310.6589999999997</v>
          </cell>
          <cell r="U174">
            <v>5220</v>
          </cell>
          <cell r="V174">
            <v>90.659000000000049</v>
          </cell>
          <cell r="AF174">
            <v>120</v>
          </cell>
        </row>
        <row r="175">
          <cell r="T175">
            <v>4749.4480000000003</v>
          </cell>
          <cell r="U175">
            <v>4670.5</v>
          </cell>
          <cell r="V175">
            <v>78.94800000000005</v>
          </cell>
          <cell r="AF175">
            <v>1020</v>
          </cell>
        </row>
        <row r="176">
          <cell r="T176">
            <v>4200.4480000000003</v>
          </cell>
          <cell r="U176">
            <v>4121.5</v>
          </cell>
          <cell r="V176">
            <v>78.94800000000005</v>
          </cell>
          <cell r="AF176">
            <v>1020</v>
          </cell>
        </row>
        <row r="177">
          <cell r="T177">
            <v>4642.9480000000003</v>
          </cell>
          <cell r="U177">
            <v>4564</v>
          </cell>
          <cell r="V177">
            <v>78.94800000000005</v>
          </cell>
          <cell r="AF177">
            <v>0</v>
          </cell>
        </row>
        <row r="178">
          <cell r="T178">
            <v>4611.4480000000003</v>
          </cell>
          <cell r="U178">
            <v>4544.5</v>
          </cell>
          <cell r="V178">
            <v>66.94800000000005</v>
          </cell>
          <cell r="AF178">
            <v>510</v>
          </cell>
        </row>
        <row r="179">
          <cell r="T179">
            <v>4914.4480000000003</v>
          </cell>
          <cell r="U179">
            <v>4859.5</v>
          </cell>
          <cell r="V179">
            <v>54.94800000000005</v>
          </cell>
          <cell r="AF179">
            <v>0</v>
          </cell>
        </row>
        <row r="180">
          <cell r="T180">
            <v>5311.9480000000003</v>
          </cell>
          <cell r="U180">
            <v>5257</v>
          </cell>
          <cell r="V180">
            <v>54.94800000000005</v>
          </cell>
          <cell r="AF180">
            <v>0</v>
          </cell>
        </row>
        <row r="181">
          <cell r="T181">
            <v>5589.4480000000003</v>
          </cell>
          <cell r="U181">
            <v>5534.5</v>
          </cell>
          <cell r="V181">
            <v>54.94800000000005</v>
          </cell>
          <cell r="AF181">
            <v>210</v>
          </cell>
        </row>
        <row r="182">
          <cell r="T182">
            <v>4533.4480000000003</v>
          </cell>
          <cell r="U182">
            <v>4492</v>
          </cell>
          <cell r="V182">
            <v>41.44800000000005</v>
          </cell>
          <cell r="AF182">
            <v>1530</v>
          </cell>
        </row>
        <row r="183">
          <cell r="T183">
            <v>4996.1980000000003</v>
          </cell>
          <cell r="U183">
            <v>4966</v>
          </cell>
          <cell r="V183">
            <v>30.19800000000005</v>
          </cell>
          <cell r="AF183">
            <v>0</v>
          </cell>
        </row>
        <row r="184">
          <cell r="T184">
            <v>4438.1980000000003</v>
          </cell>
          <cell r="U184">
            <v>4408</v>
          </cell>
          <cell r="V184">
            <v>30.19800000000005</v>
          </cell>
          <cell r="AF184">
            <v>1020</v>
          </cell>
        </row>
        <row r="185">
          <cell r="T185">
            <v>4406.6980000000003</v>
          </cell>
          <cell r="U185">
            <v>4376.5</v>
          </cell>
          <cell r="V185">
            <v>30.19800000000005</v>
          </cell>
          <cell r="AF185">
            <v>510</v>
          </cell>
        </row>
        <row r="186">
          <cell r="T186">
            <v>4381.1980000000003</v>
          </cell>
          <cell r="U186">
            <v>4351</v>
          </cell>
          <cell r="V186">
            <v>30.19800000000005</v>
          </cell>
          <cell r="AF186">
            <v>510</v>
          </cell>
        </row>
        <row r="187">
          <cell r="T187">
            <v>4858.1980000000003</v>
          </cell>
          <cell r="U187">
            <v>4828</v>
          </cell>
          <cell r="V187">
            <v>30.19800000000005</v>
          </cell>
          <cell r="AF187">
            <v>0</v>
          </cell>
        </row>
        <row r="188">
          <cell r="T188">
            <v>4979.6980000000003</v>
          </cell>
          <cell r="U188">
            <v>4949.5</v>
          </cell>
          <cell r="V188">
            <v>30.19800000000005</v>
          </cell>
          <cell r="AF188">
            <v>0</v>
          </cell>
        </row>
        <row r="189">
          <cell r="T189">
            <v>4501.1980000000003</v>
          </cell>
          <cell r="U189">
            <v>4471</v>
          </cell>
          <cell r="V189">
            <v>30.19800000000005</v>
          </cell>
          <cell r="AF189">
            <v>810</v>
          </cell>
        </row>
        <row r="190">
          <cell r="T190">
            <v>3622.1979999999999</v>
          </cell>
          <cell r="U190">
            <v>3592</v>
          </cell>
          <cell r="V190">
            <v>30.19800000000005</v>
          </cell>
          <cell r="AF190">
            <v>975</v>
          </cell>
        </row>
        <row r="191">
          <cell r="T191">
            <v>4021.1979999999999</v>
          </cell>
          <cell r="U191">
            <v>3991</v>
          </cell>
          <cell r="V191">
            <v>30.19800000000005</v>
          </cell>
          <cell r="AF191">
            <v>0</v>
          </cell>
        </row>
        <row r="192">
          <cell r="T192">
            <v>3541.9479999999999</v>
          </cell>
          <cell r="U192">
            <v>3511.75</v>
          </cell>
          <cell r="V192">
            <v>30.19800000000005</v>
          </cell>
          <cell r="AF192">
            <v>555</v>
          </cell>
        </row>
        <row r="193">
          <cell r="T193">
            <v>1756.9480000000001</v>
          </cell>
          <cell r="U193">
            <v>1726.75</v>
          </cell>
          <cell r="V193">
            <v>30.19800000000005</v>
          </cell>
          <cell r="AF193">
            <v>1785</v>
          </cell>
        </row>
        <row r="194">
          <cell r="T194">
            <v>1756.9480000000001</v>
          </cell>
          <cell r="U194">
            <v>1726.75</v>
          </cell>
          <cell r="V194">
            <v>30.19800000000005</v>
          </cell>
          <cell r="AF194">
            <v>0</v>
          </cell>
        </row>
        <row r="195">
          <cell r="T195">
            <v>1051.9480000000001</v>
          </cell>
          <cell r="U195">
            <v>1021.75</v>
          </cell>
          <cell r="V195">
            <v>30.19800000000005</v>
          </cell>
          <cell r="AF195">
            <v>705</v>
          </cell>
        </row>
        <row r="196">
          <cell r="T196">
            <v>1051.9480000000001</v>
          </cell>
          <cell r="U196">
            <v>1021.75</v>
          </cell>
          <cell r="V196">
            <v>30.19800000000005</v>
          </cell>
          <cell r="AF196">
            <v>0</v>
          </cell>
        </row>
        <row r="197">
          <cell r="T197">
            <v>1051.9480000000001</v>
          </cell>
          <cell r="U197">
            <v>1021.75</v>
          </cell>
          <cell r="V197">
            <v>30.19800000000005</v>
          </cell>
          <cell r="AF197">
            <v>0</v>
          </cell>
        </row>
        <row r="198">
          <cell r="T198">
            <v>751.94800000000009</v>
          </cell>
          <cell r="U198">
            <v>721.75</v>
          </cell>
          <cell r="V198">
            <v>30.19800000000005</v>
          </cell>
          <cell r="AF198">
            <v>300</v>
          </cell>
        </row>
        <row r="199">
          <cell r="T199">
            <v>241.94800000000004</v>
          </cell>
          <cell r="U199">
            <v>211.75</v>
          </cell>
          <cell r="V199">
            <v>30.19800000000005</v>
          </cell>
          <cell r="AF199">
            <v>510</v>
          </cell>
        </row>
        <row r="200">
          <cell r="T200">
            <v>361.94800000000004</v>
          </cell>
          <cell r="U200">
            <v>331.75</v>
          </cell>
          <cell r="V200">
            <v>30.19800000000005</v>
          </cell>
          <cell r="AF200">
            <v>0</v>
          </cell>
        </row>
        <row r="201">
          <cell r="T201">
            <v>791.69800000000009</v>
          </cell>
          <cell r="U201">
            <v>761.5</v>
          </cell>
          <cell r="V201">
            <v>30.19800000000005</v>
          </cell>
          <cell r="AF201">
            <v>0</v>
          </cell>
        </row>
        <row r="202">
          <cell r="T202">
            <v>1107.4480000000001</v>
          </cell>
          <cell r="U202">
            <v>1077.25</v>
          </cell>
          <cell r="V202">
            <v>30.19800000000005</v>
          </cell>
          <cell r="AF202">
            <v>0</v>
          </cell>
        </row>
        <row r="203">
          <cell r="T203">
            <v>1107.4480000000001</v>
          </cell>
          <cell r="U203">
            <v>1077.25</v>
          </cell>
          <cell r="V203">
            <v>30.19800000000005</v>
          </cell>
          <cell r="AF203">
            <v>0</v>
          </cell>
        </row>
        <row r="204">
          <cell r="T204">
            <v>1107.4480000000001</v>
          </cell>
          <cell r="U204">
            <v>1077.25</v>
          </cell>
          <cell r="V204">
            <v>30.19800000000005</v>
          </cell>
          <cell r="AF204">
            <v>0</v>
          </cell>
        </row>
        <row r="205">
          <cell r="T205">
            <v>1182.4480000000001</v>
          </cell>
          <cell r="U205">
            <v>1152.25</v>
          </cell>
          <cell r="V205">
            <v>30.19800000000005</v>
          </cell>
          <cell r="AF205">
            <v>0</v>
          </cell>
        </row>
        <row r="206">
          <cell r="T206">
            <v>1137.4480000000001</v>
          </cell>
          <cell r="U206">
            <v>1107.25</v>
          </cell>
          <cell r="V206">
            <v>30.19800000000005</v>
          </cell>
          <cell r="AF206">
            <v>510</v>
          </cell>
        </row>
        <row r="207">
          <cell r="T207">
            <v>1610.6980000000001</v>
          </cell>
          <cell r="U207">
            <v>1580.5</v>
          </cell>
          <cell r="V207">
            <v>30.19800000000005</v>
          </cell>
          <cell r="AF207">
            <v>0</v>
          </cell>
        </row>
        <row r="208">
          <cell r="T208">
            <v>2068.9479999999999</v>
          </cell>
          <cell r="U208">
            <v>2038.75</v>
          </cell>
          <cell r="V208">
            <v>30.19800000000005</v>
          </cell>
          <cell r="AF208">
            <v>0</v>
          </cell>
        </row>
        <row r="209">
          <cell r="T209">
            <v>2235.4479999999999</v>
          </cell>
          <cell r="U209">
            <v>2205.25</v>
          </cell>
          <cell r="V209">
            <v>30.19800000000005</v>
          </cell>
          <cell r="AF209">
            <v>300</v>
          </cell>
        </row>
        <row r="210">
          <cell r="T210">
            <v>2697.4479999999999</v>
          </cell>
          <cell r="U210">
            <v>2667.25</v>
          </cell>
          <cell r="V210">
            <v>30.19800000000005</v>
          </cell>
          <cell r="AF210">
            <v>0</v>
          </cell>
        </row>
        <row r="211">
          <cell r="T211">
            <v>2644.9479999999999</v>
          </cell>
          <cell r="U211">
            <v>2614.75</v>
          </cell>
          <cell r="V211">
            <v>30.19800000000005</v>
          </cell>
          <cell r="AF211">
            <v>510</v>
          </cell>
        </row>
        <row r="212">
          <cell r="T212">
            <v>2551.9479999999999</v>
          </cell>
          <cell r="U212">
            <v>2521.75</v>
          </cell>
          <cell r="V212">
            <v>30.19800000000005</v>
          </cell>
          <cell r="AF212">
            <v>510</v>
          </cell>
        </row>
        <row r="213">
          <cell r="T213">
            <v>2928.4479999999999</v>
          </cell>
          <cell r="U213">
            <v>2898.25</v>
          </cell>
          <cell r="V213">
            <v>30.19800000000005</v>
          </cell>
          <cell r="AF213">
            <v>0</v>
          </cell>
        </row>
        <row r="214">
          <cell r="T214">
            <v>3411.4479999999999</v>
          </cell>
          <cell r="U214">
            <v>3381.25</v>
          </cell>
          <cell r="V214">
            <v>30.19800000000005</v>
          </cell>
          <cell r="AF214">
            <v>0</v>
          </cell>
        </row>
        <row r="215">
          <cell r="T215">
            <v>3889.9479999999999</v>
          </cell>
          <cell r="U215">
            <v>3859.75</v>
          </cell>
          <cell r="V215">
            <v>30.19800000000005</v>
          </cell>
          <cell r="AF215">
            <v>0</v>
          </cell>
        </row>
        <row r="216">
          <cell r="T216">
            <v>4362.4480000000003</v>
          </cell>
          <cell r="U216">
            <v>4332.25</v>
          </cell>
          <cell r="V216">
            <v>30.19800000000005</v>
          </cell>
          <cell r="AF216">
            <v>0</v>
          </cell>
        </row>
        <row r="217">
          <cell r="T217">
            <v>3831.4479999999999</v>
          </cell>
          <cell r="U217">
            <v>3801.25</v>
          </cell>
          <cell r="V217">
            <v>30.19800000000005</v>
          </cell>
          <cell r="AF217">
            <v>1020</v>
          </cell>
        </row>
        <row r="218">
          <cell r="T218">
            <v>4311.4480000000003</v>
          </cell>
          <cell r="U218">
            <v>4281.25</v>
          </cell>
          <cell r="V218">
            <v>30.19800000000005</v>
          </cell>
          <cell r="AF218">
            <v>0</v>
          </cell>
        </row>
        <row r="219">
          <cell r="T219">
            <v>2125.9479999999999</v>
          </cell>
          <cell r="U219">
            <v>2095.75</v>
          </cell>
          <cell r="V219">
            <v>30.19800000000005</v>
          </cell>
          <cell r="AF219">
            <v>2655</v>
          </cell>
        </row>
        <row r="220">
          <cell r="T220">
            <v>2055.4479999999999</v>
          </cell>
          <cell r="U220">
            <v>2025.25</v>
          </cell>
          <cell r="V220">
            <v>30.19800000000005</v>
          </cell>
          <cell r="AF220">
            <v>510</v>
          </cell>
        </row>
        <row r="221">
          <cell r="T221">
            <v>2529.4479999999999</v>
          </cell>
          <cell r="U221">
            <v>2499.25</v>
          </cell>
          <cell r="V221">
            <v>30.19800000000005</v>
          </cell>
          <cell r="AF221">
            <v>0</v>
          </cell>
        </row>
        <row r="222">
          <cell r="T222">
            <v>3013.9479999999999</v>
          </cell>
          <cell r="U222">
            <v>2983.75</v>
          </cell>
          <cell r="V222">
            <v>30.19800000000005</v>
          </cell>
          <cell r="AF222">
            <v>0</v>
          </cell>
        </row>
        <row r="223">
          <cell r="T223">
            <v>3360.4479999999999</v>
          </cell>
          <cell r="U223">
            <v>3330.25</v>
          </cell>
          <cell r="V223">
            <v>30.19800000000005</v>
          </cell>
          <cell r="AF223">
            <v>0</v>
          </cell>
        </row>
        <row r="224">
          <cell r="T224">
            <v>3795.4479999999999</v>
          </cell>
          <cell r="U224">
            <v>3765.25</v>
          </cell>
          <cell r="V224">
            <v>30.19800000000005</v>
          </cell>
          <cell r="AF224">
            <v>0</v>
          </cell>
        </row>
      </sheetData>
      <sheetData sheetId="1"/>
      <sheetData sheetId="2">
        <row r="12">
          <cell r="A12">
            <v>40909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AF1" t="str">
            <v>Month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_Progress"/>
      <sheetName val="Form_Design"/>
      <sheetName val="Update"/>
      <sheetName val="วัตถุประสงค์ที่ 1"/>
      <sheetName val="วัตถุประสงค์ที่  2"/>
      <sheetName val="วัตถุประสงค์ที่ 3"/>
      <sheetName val="วัตถุประสงค์ที่ 4"/>
      <sheetName val="วัตถุประสงค์ที่ 5"/>
      <sheetName val="DropDown List"/>
      <sheetName val="Phenol cost"/>
      <sheetName val="VC m"/>
      <sheetName val="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M&amp;A-PTTCHEM (บปป)"/>
      <sheetName val="1.M&amp;A-TPI (บปป)"/>
      <sheetName val="1.M&amp;A-Refinery (บกป)"/>
      <sheetName val="2.Compet. Edge-PD(พธป)"/>
      <sheetName val="2.Compet. Edge-PTTPM (บปป)"/>
      <sheetName val="3.P&amp;R Project-PTTPE (พธป)"/>
      <sheetName val="3.P&amp;R Project-PTTPhenol (พธป)"/>
      <sheetName val="3.P&amp;R Project-PDHPP (พธป)"/>
      <sheetName val="4.Water Shortage (บปป)"/>
      <sheetName val="DropDown List"/>
      <sheetName val="คำอธิบายการกรอก Template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">
          <cell r="C2" t="str">
            <v>------------- เศรษฐกิจ ------------</v>
          </cell>
          <cell r="F2" t="str">
            <v xml:space="preserve">E1 </v>
          </cell>
        </row>
        <row r="3">
          <cell r="C3" t="str">
            <v xml:space="preserve">การเพิ่มขึ้น/ลดลงของ อัตราการเจริญเติบโตทางเศรษฐกิจ (GDP) </v>
          </cell>
          <cell r="F3" t="str">
            <v xml:space="preserve">E2 </v>
          </cell>
        </row>
        <row r="4">
          <cell r="C4" t="str">
            <v>การเพิ่มขึ้น/ลดลงของ อัตราดอกเบี้ย</v>
          </cell>
          <cell r="F4" t="str">
            <v>E3</v>
          </cell>
        </row>
        <row r="5">
          <cell r="C5" t="str">
            <v>การเพิ่มขึ้น/ลดลงของ อัตราแลกเปลี่ยน</v>
          </cell>
          <cell r="F5" t="str">
            <v>E4</v>
          </cell>
        </row>
        <row r="6">
          <cell r="C6" t="str">
            <v>การเพิ่มขึ้น/ลดลงของ อัตราเงินเฟ้อ</v>
          </cell>
          <cell r="F6" t="str">
            <v>E5</v>
          </cell>
        </row>
        <row r="7">
          <cell r="C7" t="str">
            <v>การเพิ่มขึ้น/ลดลงของ ราคาน้ำมันดิบ</v>
          </cell>
          <cell r="F7" t="str">
            <v>E6</v>
          </cell>
        </row>
        <row r="8">
          <cell r="C8" t="str">
            <v>การเพิ่มขึ้น/ลดลงของ ราคาผลิตภัณฑ์ปิโตรเคมี</v>
          </cell>
          <cell r="F8" t="str">
            <v>H7</v>
          </cell>
        </row>
        <row r="9">
          <cell r="C9" t="str">
            <v>การเพิ่มขึ้น/ลดลงของ ค่าการกลั่น</v>
          </cell>
          <cell r="F9" t="str">
            <v>H8</v>
          </cell>
        </row>
        <row r="10">
          <cell r="C10" t="str">
            <v>-------- กฎหมายและการเมือง --------</v>
          </cell>
          <cell r="F10" t="str">
            <v>H9</v>
          </cell>
        </row>
        <row r="11">
          <cell r="C11" t="str">
            <v>การเปลี่ยนแปลงทางการเมือง/นโยบายรัฐ</v>
          </cell>
          <cell r="F11" t="str">
            <v>H10</v>
          </cell>
        </row>
        <row r="12">
          <cell r="C12" t="str">
            <v xml:space="preserve">การถูกแทรกแซงจากนักการเมือง/นโยบายรัฐ </v>
          </cell>
          <cell r="F12" t="str">
            <v>M11</v>
          </cell>
        </row>
        <row r="13">
          <cell r="C13" t="str">
            <v>สัญญา/ข้อตกลงทางธุรกิจไม่ครอบคลุมการดำเนินธุรกิจทั้งหมด</v>
          </cell>
          <cell r="F13" t="str">
            <v>M12</v>
          </cell>
        </row>
        <row r="14">
          <cell r="C14" t="str">
            <v>ขาดการทำสัญญา/ข้อตกลงทางธุรกิจ</v>
          </cell>
          <cell r="F14" t="str">
            <v>M13</v>
          </cell>
        </row>
        <row r="15">
          <cell r="C15" t="str">
            <v xml:space="preserve">ความไม่ชัดเจนของกฎหมาย </v>
          </cell>
          <cell r="F15" t="str">
            <v>L14</v>
          </cell>
        </row>
        <row r="16">
          <cell r="C16" t="str">
            <v xml:space="preserve">ไม่ปฏิบัติตามกฎ/ระเบียบ เช่น กฎ ก.ล.ต. ระเบียบโรงงานอุตสาหกรรม  </v>
          </cell>
          <cell r="F16" t="str">
            <v>L15</v>
          </cell>
        </row>
        <row r="17">
          <cell r="C17" t="str">
            <v>การเปลี่ยนแปลงในเชิงลบของกฎ/ระเบียบ/ข้อบังคับต่าง ๆ</v>
          </cell>
          <cell r="F17" t="str">
            <v>L16</v>
          </cell>
        </row>
        <row r="18">
          <cell r="C18" t="str">
            <v>----------------- สังคม ----------------</v>
          </cell>
        </row>
        <row r="19">
          <cell r="C19" t="str">
            <v xml:space="preserve">เกิดการประท้วง/ต่อต้านจากชุมชน/กลุ่ม NGO/เจ้าของที่ดิน </v>
          </cell>
        </row>
        <row r="20">
          <cell r="C20" t="str">
            <v>สื่อมวลชนนำเสนอข้อมูลข่าวสารเชิงลบต่อปตท.</v>
          </cell>
        </row>
        <row r="21">
          <cell r="C21" t="str">
            <v>ชุมชนในพื้นที่ที่ ปตท.เข้าไปดำเนินงานไม่ให้ความร่วมมือกับ ปตท.</v>
          </cell>
        </row>
        <row r="22">
          <cell r="C22" t="str">
            <v xml:space="preserve">ชุมชนบริเวณรอบคลังร้องเรียน กรณีปัญหามลภาวะต่างๆ  </v>
          </cell>
        </row>
        <row r="23">
          <cell r="C23" t="str">
            <v>ประชาชนมีทัศนคติที่ไม่ดีต่อผลิตภัณฑ์หรือการดำเนินงานของ ปตท.   </v>
          </cell>
        </row>
        <row r="24">
          <cell r="C24" t="str">
            <v>------ ภัยธรรมชาติและวินาศภัย ------</v>
          </cell>
        </row>
        <row r="25">
          <cell r="C25" t="str">
            <v>น้ำท่วมระดับสูง</v>
          </cell>
        </row>
        <row r="26">
          <cell r="C26" t="str">
            <v xml:space="preserve">Tsunamis </v>
          </cell>
        </row>
        <row r="27">
          <cell r="C27" t="str">
            <v>แผ่นดินไหว</v>
          </cell>
        </row>
        <row r="28">
          <cell r="C28" t="str">
            <v xml:space="preserve">ลมมรสุม  พายุแรง </v>
          </cell>
        </row>
        <row r="29">
          <cell r="C29" t="str">
            <v>สภาพอากาศแปรปรวน</v>
          </cell>
        </row>
        <row r="30">
          <cell r="C30" t="str">
            <v>ไฟไหม้</v>
          </cell>
        </row>
        <row r="31">
          <cell r="C31" t="str">
            <v xml:space="preserve">ถูกลอบวางเพลิง </v>
          </cell>
        </row>
        <row r="32">
          <cell r="C32" t="str">
            <v xml:space="preserve">ขู่วางระเบิด </v>
          </cell>
        </row>
        <row r="33">
          <cell r="C33" t="str">
            <v>เกิดภาวะเกิดสงคราม</v>
          </cell>
        </row>
        <row r="34">
          <cell r="C34" t="str">
            <v>ความไม่สงบในจังหวัดชายแดนภาคใต้</v>
          </cell>
        </row>
        <row r="35">
          <cell r="C35" t="str">
            <v>---- โครงสร้างและกลยุทธ์องค์กร ----</v>
          </cell>
        </row>
        <row r="36">
          <cell r="C36" t="str">
            <v>ขาดความชัดเจนในบทบาทและหน้าที่รับผิดชอบระหว่างกลุ่มธุรกิจและ สนญ.</v>
          </cell>
        </row>
        <row r="37">
          <cell r="C37" t="str">
            <v>Conflict of Interest ในกลุ่มผู้ถือหุ้น</v>
          </cell>
        </row>
        <row r="38">
          <cell r="C38" t="str">
            <v>โครงสร้างองค์กรไม่สอดคล้องกับภารกิจและความรับผิดชอบของหน่วยงาน</v>
          </cell>
        </row>
        <row r="39">
          <cell r="C39" t="str">
            <v>ขาดการมอบหมายอำนาจ หน้าที่ ความรับผิดชอบ ที่ชัดเจน</v>
          </cell>
        </row>
        <row r="40">
          <cell r="C40" t="str">
            <v xml:space="preserve">ขาดการบริหารจัดการที่เชื่อมโยงกันระหว่าง หน่วยธุรกิจของ ปตท.   </v>
          </cell>
        </row>
        <row r="41">
          <cell r="C41" t="str">
            <v>ขาดการสื่อความเรื่องทิศทางองค์กร/กลยุทธ์/นโยบาย/เป้าหมายการดำเนินธุรกิจ</v>
          </cell>
        </row>
        <row r="42">
          <cell r="C42" t="str">
            <v>แผนกลยุทธ์ระดับองค์กร ระดับธุรกิจ และบริษัทในเครือ ไม่สอดคล้องกัน</v>
          </cell>
        </row>
        <row r="43">
          <cell r="C43" t="str">
            <v xml:space="preserve">ขาดความร่วมมือจากบริษัทในเครือ  </v>
          </cell>
        </row>
        <row r="44">
          <cell r="C44" t="str">
            <v>ขาดความชัดเจนในการกำหนดเป้าหมายทางธุรกิจเพื่อสร้างมูลค่าเพิ่มให้กับองค์กร</v>
          </cell>
        </row>
        <row r="45">
          <cell r="C45" t="str">
            <v xml:space="preserve">ขาดการประเมินโครงการอย่างครบถ้วนในระยะเวลาที่เหมาะสม </v>
          </cell>
        </row>
        <row r="46">
          <cell r="C46" t="str">
            <v xml:space="preserve">ไม่มีการตัดสินใจลงทุนเป็น Package   เพื่อให้เกิด Synergy </v>
          </cell>
        </row>
        <row r="47">
          <cell r="C47" t="str">
            <v>ไม่มีขั้นตอนการตรวจสอบก่อนการลงทุนและหลังการลงทุน</v>
          </cell>
        </row>
        <row r="48">
          <cell r="C48" t="str">
            <v>ไม่สามารถเชื่อมโยงการบริหารจัดการการลงทุนในโครงการใหม่กับธุรกิจที่มีอยู่</v>
          </cell>
        </row>
        <row r="49">
          <cell r="C49" t="str">
            <v>------ การพัฒนาและขยายธุรกิจ -----</v>
          </cell>
        </row>
        <row r="50">
          <cell r="C50" t="str">
            <v>ขาดทิศทาง/กลยุทธ์/นโยบาย ที่ชัดเจนในการขยายงานและการเข้าสู่ธุรกิจใหม่</v>
          </cell>
        </row>
        <row r="51">
          <cell r="C51" t="str">
            <v xml:space="preserve">กระบวนการ M&amp;A ไม่ชัดเจน ขาดความโปร่งใส </v>
          </cell>
        </row>
        <row r="52">
          <cell r="C52" t="str">
            <v>พนักงานมีทัศนคติเชิงลบและต่อต้านการ M&amp;A</v>
          </cell>
        </row>
        <row r="53">
          <cell r="C53" t="str">
            <v>ขาดนโยบายและกระบวนการบริหารจัดการ ก่อน-หลัง  M&amp;A เพื่อสร้าง Synergy</v>
          </cell>
        </row>
        <row r="54">
          <cell r="C54" t="str">
            <v>สินทรัพย์ของกิจการที่ควบรวมไม่มีคุณภาพหรือไม่อยู่ในสภาพที่พร้อมใช้งาน</v>
          </cell>
        </row>
        <row r="55">
          <cell r="C55" t="str">
            <v>ถูกฟ้องร้องดำเนินคดีแทนกิจการที่ควบรวม/ถูกผูกพันด้วยข้อตกลงที่เสียเปรียบ</v>
          </cell>
        </row>
        <row r="56">
          <cell r="C56" t="str">
            <v>ไม่สามารถโอนกรรมสิทธิ์/สิทธิประโยชน์ที่กิจการได้รับก่อนการควบรวมกิจการได้</v>
          </cell>
        </row>
        <row r="57">
          <cell r="C57" t="str">
            <v xml:space="preserve">นักลงทุนมีทัศนคติในทางลบต่อการควบรวมกิจการ  </v>
          </cell>
        </row>
        <row r="58">
          <cell r="C58" t="str">
            <v>----------- โครงการก่อสร้าง ----------</v>
          </cell>
        </row>
        <row r="59">
          <cell r="C59" t="str">
            <v>ความล่าช้าในขั้นตอนการปฏิบัติการขอใบอนุญาตต่างๆ เข่น EIA</v>
          </cell>
        </row>
        <row r="60">
          <cell r="C60" t="str">
            <v>ความล่าช้าในขั้นตอนการจัดซื้อ/จัดหา/ขนส่งอุปกรณ์ก่อสร้าง Long Lead Item</v>
          </cell>
        </row>
        <row r="61">
          <cell r="C61" t="str">
            <v>วัสดุอุปกรณ์ เครื่องมือ และการดำเนินงานต่างๆ ไม่เป็นไปตาม Specification</v>
          </cell>
        </row>
        <row r="62">
          <cell r="C62" t="str">
            <v>การดำเนินงานก่อสร้างไม่คำนึงถึงคุณภาพ ความปลอดภัยและสิ่งแวดล้อม</v>
          </cell>
        </row>
        <row r="63">
          <cell r="C63" t="str">
            <v>ขาดการเตรียมการในช่วงเริ่มนำระบบมาใช้งานจริง (Commissioning)</v>
          </cell>
        </row>
        <row r="64">
          <cell r="C64" t="str">
            <v>สถานที่ตั้งโครงการไม่เหมาะสม</v>
          </cell>
        </row>
        <row r="65">
          <cell r="C65" t="str">
            <v xml:space="preserve">การดำเนินการก่อสร้างไม่เป็นไปตามข้อกำหนด EIA </v>
          </cell>
        </row>
        <row r="66">
          <cell r="C66" t="str">
            <v xml:space="preserve">บริษัทผู้รับเหมาที่มีความสามารถไม่เพียงพอ </v>
          </cell>
        </row>
        <row r="67">
          <cell r="C67" t="str">
            <v>มีบริษัทผู้รับเหมาน้อยรายที่เข้าร่วมประกวดราคา</v>
          </cell>
        </row>
        <row r="68">
          <cell r="C68" t="str">
            <v>ต้นทุนวัสดุก่อสร้างสูงขึ้นโดยเฉพาะค่าเนื้อเหล็ก และค่าแรงผู้รับเหมาที่เพิ่มขึ้น</v>
          </cell>
        </row>
        <row r="69">
          <cell r="C69" t="str">
            <v xml:space="preserve">ไม่สามารถปฏิบัติงานที่เป็น Critical Path ได้สำเร็จตาม Milestone  </v>
          </cell>
        </row>
        <row r="70">
          <cell r="C70" t="str">
            <v>--------- การตลาดและการค้า --------</v>
          </cell>
        </row>
        <row r="71">
          <cell r="C71" t="str">
            <v>ขาดกลยุทธ์ในการสร้างภาพพจน์ตราสินค้าให้เป็นที่ยอมรับของผู้บริโภค</v>
          </cell>
        </row>
        <row r="72">
          <cell r="C72" t="str">
            <v xml:space="preserve">การควบคุมดูแลการใช้ตราสินค้าของ ปตท. ไม่รัดกุมเพียงพอ  </v>
          </cell>
        </row>
        <row r="73">
          <cell r="C73" t="str">
            <v xml:space="preserve">Demand &amp; Supply  Forecast  ไม่มีประสิทธิภาพ  </v>
          </cell>
        </row>
        <row r="74">
          <cell r="C74" t="str">
            <v>ขาด Hedging Policy ที่ชัดเจน กำหนดเป้าหมายราคาและปริมาณล่าช้า</v>
          </cell>
        </row>
        <row r="75">
          <cell r="C75" t="str">
            <v>ขาดการสร้างความสัมพันธ์กับ Strategic Partner ในการการขยายตลาด</v>
          </cell>
        </row>
        <row r="76">
          <cell r="C76" t="str">
            <v>การซื้อขายในตลาดซื้อขายล่วงหน้ามีปริมาณจำกัด (Low Liquidity)</v>
          </cell>
        </row>
        <row r="77">
          <cell r="C77" t="str">
            <v>ปริมาณเรือ Thailand Home Based มีอยู่จำกัด</v>
          </cell>
        </row>
        <row r="78">
          <cell r="C78" t="str">
            <v>เรือ Time Charter ไม่มีประสิทธิภาพ</v>
          </cell>
        </row>
        <row r="79">
          <cell r="C79" t="str">
            <v xml:space="preserve">ขาดความร่วมมือจากบริษัทในเครือให้ซื้อน้ำมันดิบ/คอนเดนเสทผ่าน ปตท. </v>
          </cell>
        </row>
        <row r="80">
          <cell r="C80" t="str">
            <v>Facility ต่าง ๆ ในคลังยังไม่พร้อมรองรับการขยายธุรกิจ Trading</v>
          </cell>
        </row>
        <row r="81">
          <cell r="C81" t="str">
            <v>การตรวจสอบเงื่อนไข/การเจรจาต่อรองล่าช้า ขออนุมัติไม่ทันกำหนดเวลา</v>
          </cell>
        </row>
        <row r="82">
          <cell r="C82" t="str">
            <v xml:space="preserve">ไม่มีอำนาจการต่อรองทางการตลาด </v>
          </cell>
        </row>
        <row r="83">
          <cell r="C83" t="str">
            <v>การแข่งขันทางการตลาดสูง</v>
          </cell>
        </row>
        <row r="84">
          <cell r="C84" t="str">
            <v xml:space="preserve">ไม่สามารถสนองความต้องการของลูกค้าได้ตามที่คาดหวัง </v>
          </cell>
        </row>
        <row r="85">
          <cell r="C85" t="str">
            <v xml:space="preserve">ไม่สามารถเปิดร้านค้า/สถานีบริการได้ตามกำหนด  </v>
          </cell>
        </row>
        <row r="86">
          <cell r="C86" t="str">
            <v xml:space="preserve">ไม่สามารถผลักดันให้สถานีบริการให้บริการลูกค้าได้ตามมาตรฐานที่กำหนด </v>
          </cell>
        </row>
        <row r="87">
          <cell r="C87" t="str">
            <v>กำหนดสูตรโครงสร้างต้นทุน ราคาขาย และส่วนลดที่ไม่เหมาะสมในแต่ละตลาด</v>
          </cell>
        </row>
        <row r="88">
          <cell r="C88" t="str">
            <v xml:space="preserve">ไม่สามารถบริหารจัดการ Inventory ได้อย่างมีประสิทธิภาพ  </v>
          </cell>
        </row>
        <row r="89">
          <cell r="C89" t="str">
            <v xml:space="preserve">การโฆษณาและส่งเสริมการขายที่ไม่ตรงกลุ่มเป้าหมาย </v>
          </cell>
        </row>
        <row r="90">
          <cell r="C90" t="str">
            <v>ได้รับใบอนุญาตประกอบกิจการ NGV จากหน่วยราชการยากและช้า</v>
          </cell>
        </row>
        <row r="91">
          <cell r="C91" t="str">
            <v xml:space="preserve">ต้องใช้เวลานานในการจัดหาที่ดินก่อสร้างสถานีบริการ NGV </v>
          </cell>
        </row>
        <row r="92">
          <cell r="C92" t="str">
            <v>ขาดการวางแผนและกำหนดกลยุทธ์ในระยะยาว</v>
          </cell>
        </row>
        <row r="93">
          <cell r="C93" t="str">
            <v>ขาดการติดตามควบคุมค่าใช้จ่ายในการดำเนินงาน</v>
          </cell>
        </row>
        <row r="94">
          <cell r="C94" t="str">
            <v>ขาดความถูกต้องของข้อมูลต้นทุนสินค้าในระบบ SAP</v>
          </cell>
        </row>
        <row r="95">
          <cell r="C95" t="str">
            <v>--------- จัดหาและจัดจำหน่าย -------</v>
          </cell>
        </row>
        <row r="96">
          <cell r="C96" t="str">
            <v xml:space="preserve">สภาพรถบรรทุกน้ำมัน/ก๊าซ NGV ไม่ได้มาตรฐาน </v>
          </cell>
        </row>
        <row r="97">
          <cell r="C97" t="str">
            <v>ค่าขนส่งสูงจนทำให้ไม่สามารถแข่งขันกับ Others Supplier ที่อยู่ใกล้ตลาด</v>
          </cell>
        </row>
        <row r="98">
          <cell r="C98" t="str">
            <v>ลูกค้าใช้ก๊าซฯเกินกว่าแผน/สัญญาทำให้มีผลกระทบต่อการจัดส่งก๊าซฯให้กฟผ.</v>
          </cell>
        </row>
        <row r="99">
          <cell r="C99" t="str">
            <v xml:space="preserve">เกิดการชะงักของการจ่ายก๊าซจากแหล่งผลิต         </v>
          </cell>
        </row>
        <row r="100">
          <cell r="C100" t="str">
            <v>ระบบท่อส่งก๊าซฯ เกิดปัญหาทำให้ไม่สามารถส่งก๊าซฯ ได้ตามปกติ</v>
          </cell>
        </row>
        <row r="101">
          <cell r="C101" t="str">
            <v xml:space="preserve">เครื่องจักรอุปกรณ์ชำรุด </v>
          </cell>
        </row>
        <row r="102">
          <cell r="C102" t="str">
            <v>ไม่มีแผนฉุกเฉินรองรับกรณีไม่สามารถจัดหาก๊าซ ฯ จากแหล่งผลิต</v>
          </cell>
        </row>
        <row r="103">
          <cell r="C103" t="str">
            <v>จัดหารถขนส่งไม่สอดคล้องกับความต้องการทางด้านตลาดที่เพิ่มขึ้นแบบเร่งด่วน</v>
          </cell>
        </row>
        <row r="104">
          <cell r="C104" t="str">
            <v>การตรวจสอบการดำเนินการไม่ชัดเจนและไม่แน่นอน</v>
          </cell>
        </row>
        <row r="105">
          <cell r="C105" t="str">
            <v>คุณภาพผลิตภัณฑ์ที่ส่งให้ลูกค้าไม่ได้มาตรฐาน</v>
          </cell>
        </row>
        <row r="106">
          <cell r="C106" t="str">
            <v>เกิดอุบัติเหตุระหว่างการขนส่งเนื่องจากพนักงานขับรถหรือสภาพรถ</v>
          </cell>
        </row>
        <row r="107">
          <cell r="C107" t="str">
            <v>การส่งก๊าซฯ ไม่ทันต่อความต้องการของลูกค้า</v>
          </cell>
        </row>
        <row r="108">
          <cell r="C108" t="str">
            <v>------- กระบวนงานและ QSHE ---------</v>
          </cell>
        </row>
        <row r="109">
          <cell r="C109" t="str">
            <v>ขาดการบริหารจัดการทรัพยากรที่เหมาะสม</v>
          </cell>
        </row>
        <row r="110">
          <cell r="C110" t="str">
            <v>การ Trip จากสาเหตุเกี่ยวกับเครื่องมือวัด/Human Error/ใช้ไฟฟ้าเกินกำลัง/อื่นๆ</v>
          </cell>
        </row>
        <row r="111">
          <cell r="C111" t="str">
            <v xml:space="preserve">Performance ของโรงงานผลิตไม่เป็นไปตามเป้าหมาย      </v>
          </cell>
        </row>
        <row r="112">
          <cell r="C112" t="str">
            <v>ปัญหาความไม่แน่นอนของคุณภาพของน้ำมันดิบและคอนเดนเสท</v>
          </cell>
        </row>
        <row r="113">
          <cell r="C113" t="str">
            <v xml:space="preserve">ผู้บริหารระดับสูงไม่ให้การสนับสนุน ข้อเสนอแนะไม่ได้รับการปฏิบัติอย่างจริงจัง </v>
          </cell>
        </row>
        <row r="114">
          <cell r="C114" t="str">
            <v>คุณภาพการบริการและความปลอดภัยยังไม่รัดกุมเพียงพอ</v>
          </cell>
        </row>
        <row r="115">
          <cell r="C115" t="str">
            <v>ขาดการควบคุมและป้องกันการก่อการร้าย</v>
          </cell>
        </row>
        <row r="116">
          <cell r="C116" t="str">
            <v xml:space="preserve">พนักงานละเลยไม่ปฏิบัติตามหลักเกณฑ์และกระบวนการ QSHE </v>
          </cell>
        </row>
        <row r="117">
          <cell r="C117" t="str">
            <v xml:space="preserve">กระบวนการปฏิบัติงานไม่มีประสิทธิภาพ </v>
          </cell>
        </row>
        <row r="118">
          <cell r="C118" t="str">
            <v>ระบบ/อุปกรณ์ชำรุดเสียหายใช้งานไม่ได้ หรือไม่มีประสิทธิภาพ</v>
          </cell>
        </row>
        <row r="119">
          <cell r="C119" t="str">
            <v>Third Party Interferences (ความเสี่ยงจากงานก่อสร้างของบุคคลที่ 3)</v>
          </cell>
        </row>
        <row r="120">
          <cell r="C120" t="str">
            <v>ทุจริตในการขนส่งผลิตภัณฑ์</v>
          </cell>
        </row>
        <row r="121">
          <cell r="C121" t="str">
            <v>ความไม่เข้าใจในการตรวจรับผลิตภัณฑ์ของลูกค้า</v>
          </cell>
        </row>
        <row r="122">
          <cell r="C122" t="str">
            <v>ไม่สามารถควบคุมคุณภาพก๊าซธรรมชาติ/ผลิตภัณฑ์ต่าง ๆ ได้ตามข้อกำหนด</v>
          </cell>
        </row>
        <row r="123">
          <cell r="C123" t="str">
            <v>ระบบการป้องกันสารปรอทรั่วไหลสู่สิ่งแวดล้อมไม่มีประสิทธิภาพ</v>
          </cell>
        </row>
        <row r="124">
          <cell r="C124" t="str">
            <v>ระบบ SAP, TAS หยุดชะงัก  ไม่สามารถจ่ายผลิตภัณฑ์ให้ลูกค้า</v>
          </cell>
        </row>
        <row r="125">
          <cell r="C125" t="str">
            <v>---------- บัญชีการเงินสินเชื่อ --------</v>
          </cell>
        </row>
        <row r="126">
          <cell r="C126" t="str">
            <v>การบันทึกบัญชีไม่เป็นมาตรฐานเดียวกัน</v>
          </cell>
        </row>
        <row r="127">
          <cell r="C127" t="str">
            <v>การไม่ยอมรับหลักเกณฑ์ allocate ค่าใช้จ่ายให้แก่หน่วยงานที่เป็น Profit center</v>
          </cell>
        </row>
        <row r="128">
          <cell r="C128" t="str">
            <v>ขาดเอกสารหลักฐานในอดีตที่ใช้ประกอบการพิจารณาตัดจำหน่ายหนี้</v>
          </cell>
        </row>
        <row r="129">
          <cell r="C129" t="str">
            <v>ไม่มีการบริหารจัดการตามนโยบายสินเชื่อและการจัด Credit Rating อย่างเข้มงวด</v>
          </cell>
        </row>
        <row r="130">
          <cell r="C130" t="str">
            <v>ไม่มีการกำหนดหลักประกันที่สอดคล้องกับแต่ละตลาดของกลุ่มธุรกิจ</v>
          </cell>
        </row>
        <row r="131">
          <cell r="C131" t="str">
            <v xml:space="preserve">Mismatch ระหว่างรายได้/ค่าใช้จ่ายที่อิงกับเงินตราต่างประเทศ  </v>
          </cell>
        </row>
        <row r="132">
          <cell r="C132" t="str">
            <v>ไม่มีนโยบายการบริหารจัดการทางการเงินเพื่อเป็นแนวทางให้บริษัทในเครือ</v>
          </cell>
        </row>
        <row r="133">
          <cell r="C133" t="str">
            <v>ประมาณการกระแสเงินรับ-จ่ายสำหรับช่วงเวลาต่าง ๆ ไม่ถูกต้อง</v>
          </cell>
        </row>
        <row r="134">
          <cell r="C134" t="str">
            <v xml:space="preserve">แผนงานของ ปตท.ไม่สอดคล้องกับโครงสร้างเงินทุน </v>
          </cell>
        </row>
        <row r="135">
          <cell r="C135" t="str">
            <v>นโยบายการจัดการเงินเพื่อการลงทุนไม่สอดคล้องกับการควบคุมภาระหนี้ของประเทศ</v>
          </cell>
        </row>
        <row r="136">
          <cell r="C136" t="str">
            <v>การวางแผนภาษีไม่ครบถ้วน</v>
          </cell>
        </row>
        <row r="137">
          <cell r="C137" t="str">
            <v>ไม่สามารถจัดหาเงินทุนได้ตามจำนวนและเวลาที่ใช้งาน</v>
          </cell>
        </row>
        <row r="138">
          <cell r="C138" t="str">
            <v>------------ ทรัพยากรบุคคล ----------</v>
          </cell>
        </row>
        <row r="139">
          <cell r="C139" t="str">
            <v xml:space="preserve">พนักงานไม่สามารถใช้เครื่องมือ อุปกรณ์ ที่เป็น New  technology ในงานด้านต่างๆ </v>
          </cell>
        </row>
        <row r="140">
          <cell r="C140" t="str">
            <v xml:space="preserve">ขาดบุคลากรที่รอบรู้การดำเนินธุรกิจของปตท.ตลอดสายโซ่ธุรกิจ </v>
          </cell>
        </row>
        <row r="141">
          <cell r="C141" t="str">
            <v>ไม่มีบุคลากรที่มีความรู้/ความเชี่ยวชาญเพียงพอ</v>
          </cell>
        </row>
        <row r="142">
          <cell r="C142" t="str">
            <v>ขาดประสบการณ์  ความคิดสร้างสรรค์  และการเชื่อมโยงการบริหารจัดการ</v>
          </cell>
        </row>
        <row r="143">
          <cell r="C143" t="str">
            <v>ขาดมนุษยสัมพันธ์ /ขาดทักษะการสื่อความ</v>
          </cell>
        </row>
        <row r="144">
          <cell r="C144" t="str">
            <v>ไม่สามารถปฏิบัติงานได้หลากหลาย  ในสถานการณ์ที่เปลี่ยนแปลงตลอดเวลา</v>
          </cell>
        </row>
        <row r="145">
          <cell r="C145" t="str">
            <v>ปฏิบัติงานบกพร่อง  เกิดข้อผิดพลาดบ่อย</v>
          </cell>
        </row>
        <row r="146">
          <cell r="C146" t="str">
            <v>ไม่สามารถทำงานเป็นทีมได้</v>
          </cell>
        </row>
        <row r="147">
          <cell r="C147" t="str">
            <v>มีความรู้สึกเครียด  กดดัน  และรู้สึกไม่มั่นคงในชีวิตการทำงาน</v>
          </cell>
        </row>
        <row r="148">
          <cell r="C148" t="str">
            <v xml:space="preserve">ขาดผู้ปฏิบัติงานที่มีความเชี่ยวชาญเฉพาะด้าน (Trading, International law) </v>
          </cell>
        </row>
        <row r="149">
          <cell r="C149" t="str">
            <v>ไม่สามารถรักษาบุคลากรที่มีความรู้ความเชี่ยวชาญเฉพาะ</v>
          </cell>
        </row>
        <row r="150">
          <cell r="C150" t="str">
            <v>ไม่สามารถลดจำนวนพนักงานนอกแผนอัตรากำลังได้ตามเป้าหมาย</v>
          </cell>
        </row>
        <row r="152">
          <cell r="C152" t="str">
            <v xml:space="preserve">ไม่สามารถวางแผนอัตรากำลังได้ทันต่อการขยายธุรกิจด้านต่าง ๆ  </v>
          </cell>
        </row>
        <row r="153">
          <cell r="C153" t="str">
            <v>จำนวนบุคลากรไม่เพียงพอ</v>
          </cell>
        </row>
        <row r="154">
          <cell r="C154" t="str">
            <v>------ เทคโนโลยีและสารสนเทศ ------</v>
          </cell>
        </row>
        <row r="155">
          <cell r="C155" t="str">
            <v>การคัดเลือกเทคโนโลยีไม่เหมาะสม</v>
          </cell>
        </row>
        <row r="156">
          <cell r="C156" t="str">
            <v xml:space="preserve">เทคโนโลยีเปลี่ยนแปลงอย่างรวดเร็ว อุปกรณ์/ระบบต่างๆ ที่ลงทุนไปแล้วล้าสมัย </v>
          </cell>
        </row>
        <row r="157">
          <cell r="C157" t="str">
            <v>ออกแบบกระบวนงานผิดพลาด เกิดปัญหา/อุปสรรคในการปฏิบัติงาน</v>
          </cell>
        </row>
        <row r="158">
          <cell r="C158" t="str">
            <v>ไม่ให้ความสำคัญต่อการรักษาความปลอดภัยของระบบข้อมูลอย่างเพียงพอ</v>
          </cell>
        </row>
        <row r="159">
          <cell r="C159" t="str">
            <v xml:space="preserve">ระบบเครือข่ายคอมพิวเตอร์ล่มไม่สามารถปฏิบัติงานได้ </v>
          </cell>
        </row>
        <row r="160">
          <cell r="C160" t="str">
            <v>ไม่มี  information sharing ขาดข้อมูล/สารสนเทศที่จำเป็นต่อการตัดสินใจ</v>
          </cell>
        </row>
        <row r="161">
          <cell r="C161" t="str">
            <v xml:space="preserve">ความล่าช้า/ไม่ถูกต้อง/ไม่ครบถ้วนของข้อมูล </v>
          </cell>
        </row>
        <row r="162">
          <cell r="C162" t="str">
            <v xml:space="preserve">ขาดกระบวนการนำเข้าข้อมูลที่ดี เช่น Multiple source of data input </v>
          </cell>
        </row>
        <row r="163">
          <cell r="C163" t="str">
            <v>ไม่มีระบบ กระบวนการ วิธีการ เครื่องมือ ที่สนับสนุนการบริหารจัดการงาน</v>
          </cell>
        </row>
        <row r="164">
          <cell r="C164" t="str">
            <v>พนักงานยังมีความเข้าใจระบบข้อมูล SAP ไม่เพียงพอ</v>
          </cell>
        </row>
        <row r="165">
          <cell r="C165" t="str">
            <v xml:space="preserve">ระบบ SAP ไม่ได้ปิดโอกาสที่จะเกิด Human Error </v>
          </cell>
        </row>
        <row r="166">
          <cell r="C166" t="str">
            <v>------------ อื่น ๆ (ระบุ) ---------------</v>
          </cell>
        </row>
      </sheetData>
      <sheetData sheetId="10" refreshError="1"/>
      <sheetData sheetId="11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Thanayot Prasanthai" id="{3B47CAFC-3B2A-487D-82E2-24FCD14D6FE9}" userId="S::26005863@pttgcgroup.com::7a139d9a-697b-41b5-abaa-89a6975b2caf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3" dT="2019-12-03T02:20:22.05" personId="{3B47CAFC-3B2A-487D-82E2-24FCD14D6FE9}" id="{9C246F1E-07BB-41C5-AB5F-C2CB471D8EA4}">
    <text>หัก recycle 24*Flow 1242*ความเข้มข้น 4,4 BPA in TK-1251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drawing" Target="../drawings/drawing2.xml"/><Relationship Id="rId7" Type="http://schemas.openxmlformats.org/officeDocument/2006/relationships/oleObject" Target="../embeddings/oleObject2.bin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Relationship Id="rId6" Type="http://schemas.openxmlformats.org/officeDocument/2006/relationships/image" Target="../media/image2.emf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3.bin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00B050"/>
  </sheetPr>
  <dimension ref="A1:CO117"/>
  <sheetViews>
    <sheetView showGridLines="0" zoomScale="55" zoomScaleNormal="55" workbookViewId="0">
      <pane xSplit="5" topLeftCell="F1" activePane="topRight" state="frozen"/>
      <selection activeCell="M48" sqref="M48"/>
      <selection pane="topRight" activeCell="H44" sqref="H44"/>
    </sheetView>
  </sheetViews>
  <sheetFormatPr defaultColWidth="9.140625" defaultRowHeight="15" outlineLevelRow="1"/>
  <cols>
    <col min="1" max="1" width="9.140625" style="295"/>
    <col min="2" max="2" width="35.28515625" style="295" customWidth="1"/>
    <col min="3" max="3" width="8.28515625" style="295" customWidth="1"/>
    <col min="4" max="5" width="20" style="295" customWidth="1"/>
    <col min="6" max="8" width="17.140625" style="295" customWidth="1"/>
    <col min="9" max="9" width="18.85546875" style="295" customWidth="1"/>
    <col min="10" max="10" width="19.7109375" style="295" customWidth="1"/>
    <col min="11" max="11" width="17.140625" style="295" customWidth="1"/>
    <col min="12" max="12" width="22.28515625" style="295" customWidth="1"/>
    <col min="13" max="13" width="19.28515625" style="295" customWidth="1"/>
    <col min="14" max="16" width="17.140625" style="295" customWidth="1"/>
    <col min="17" max="17" width="20.28515625" style="295" customWidth="1"/>
    <col min="18" max="18" width="21.140625" style="295" bestFit="1" customWidth="1"/>
    <col min="19" max="19" width="15.7109375" style="295" customWidth="1"/>
    <col min="20" max="21" width="21.5703125" style="295" customWidth="1"/>
    <col min="22" max="22" width="16.28515625" style="295" hidden="1" customWidth="1"/>
    <col min="23" max="23" width="14" style="295" hidden="1" customWidth="1"/>
    <col min="24" max="24" width="16" style="337" customWidth="1"/>
    <col min="25" max="25" width="15.85546875" style="295" customWidth="1"/>
    <col min="26" max="38" width="16.140625" style="295" customWidth="1"/>
    <col min="39" max="39" width="11.85546875" style="295" bestFit="1" customWidth="1"/>
    <col min="40" max="40" width="15.140625" style="295" bestFit="1" customWidth="1"/>
    <col min="41" max="41" width="14.7109375" style="295" customWidth="1"/>
    <col min="42" max="42" width="9.85546875" style="295" bestFit="1" customWidth="1"/>
    <col min="43" max="43" width="13.7109375" style="295" bestFit="1" customWidth="1"/>
    <col min="44" max="16384" width="9.140625" style="295"/>
  </cols>
  <sheetData>
    <row r="1" spans="1:25" ht="23.25">
      <c r="A1" s="861"/>
      <c r="B1" s="1"/>
      <c r="C1" s="1"/>
      <c r="D1" s="1"/>
      <c r="E1" s="296"/>
      <c r="F1" s="1"/>
      <c r="G1" s="296"/>
      <c r="H1" s="296"/>
      <c r="I1" s="296"/>
      <c r="J1" s="296"/>
      <c r="K1" s="296"/>
      <c r="L1" s="296"/>
      <c r="M1" s="296"/>
      <c r="N1" s="296"/>
      <c r="O1" s="296"/>
      <c r="P1" s="1"/>
      <c r="Q1" s="1"/>
      <c r="R1" s="1"/>
      <c r="S1" s="1"/>
      <c r="T1" s="296"/>
      <c r="U1" s="862"/>
      <c r="V1" s="296"/>
      <c r="W1" s="323"/>
      <c r="X1" s="295"/>
    </row>
    <row r="2" spans="1:25" ht="23.25">
      <c r="A2" s="297"/>
      <c r="B2" s="298"/>
      <c r="C2" s="2"/>
      <c r="D2" s="2"/>
      <c r="E2" s="3"/>
      <c r="F2" s="354"/>
      <c r="G2" s="354"/>
      <c r="H2" s="5"/>
      <c r="I2" s="5" t="s">
        <v>292</v>
      </c>
      <c r="J2" s="5"/>
      <c r="K2" s="354"/>
      <c r="L2" s="354"/>
      <c r="M2" s="354"/>
      <c r="N2" s="354"/>
      <c r="O2" s="5"/>
      <c r="P2" s="2"/>
      <c r="Q2" s="2"/>
      <c r="R2" s="2"/>
      <c r="S2" s="2"/>
      <c r="T2" s="299"/>
      <c r="U2" s="342"/>
      <c r="V2" s="299"/>
      <c r="W2" s="324"/>
      <c r="X2" s="295"/>
    </row>
    <row r="3" spans="1:25" ht="23.25" hidden="1">
      <c r="A3" s="297"/>
      <c r="B3" s="300"/>
      <c r="C3" s="300"/>
      <c r="D3" s="300"/>
      <c r="E3" s="300"/>
      <c r="F3" s="300"/>
      <c r="G3" s="300"/>
      <c r="H3" s="300"/>
      <c r="I3" s="2"/>
      <c r="J3" s="299"/>
      <c r="K3" s="299"/>
      <c r="L3" s="299"/>
      <c r="M3" s="299"/>
      <c r="N3" s="299"/>
      <c r="O3" s="5"/>
      <c r="P3" s="5"/>
      <c r="Q3" s="5"/>
      <c r="R3" s="5"/>
      <c r="S3" s="5"/>
      <c r="T3" s="299"/>
      <c r="U3" s="342"/>
      <c r="V3" s="299"/>
      <c r="W3" s="299"/>
      <c r="X3" s="295"/>
    </row>
    <row r="4" spans="1:25" ht="23.25">
      <c r="A4" s="297"/>
      <c r="B4" s="298"/>
      <c r="C4" s="6"/>
      <c r="D4" s="7"/>
      <c r="E4" s="7"/>
      <c r="F4" s="7"/>
      <c r="G4" s="7"/>
      <c r="H4" s="1668">
        <f>'%Load daily'!B3</f>
        <v>43800</v>
      </c>
      <c r="I4" s="1668"/>
      <c r="J4" s="265" t="s">
        <v>466</v>
      </c>
      <c r="K4" s="299"/>
      <c r="L4" s="299"/>
      <c r="M4" s="299"/>
      <c r="N4" s="299"/>
      <c r="O4" s="300"/>
      <c r="P4" s="300"/>
      <c r="Q4" s="1503"/>
      <c r="R4" s="300"/>
      <c r="S4" s="300"/>
      <c r="T4" s="299"/>
      <c r="U4" s="342"/>
      <c r="V4" s="299"/>
      <c r="W4" s="324"/>
      <c r="X4" s="295"/>
    </row>
    <row r="5" spans="1:25" ht="18.75">
      <c r="A5" s="297"/>
      <c r="B5" s="7"/>
      <c r="C5" s="7"/>
      <c r="D5" s="7"/>
      <c r="E5" s="7"/>
      <c r="F5" s="266"/>
      <c r="G5" s="7"/>
      <c r="H5" s="7"/>
      <c r="I5" s="936"/>
      <c r="J5" s="7"/>
      <c r="K5" s="7"/>
      <c r="L5" s="938"/>
      <c r="M5" s="299"/>
      <c r="N5" s="299"/>
      <c r="O5" s="8"/>
      <c r="P5" s="300"/>
      <c r="Q5" s="300"/>
      <c r="R5" s="300"/>
      <c r="S5" s="300"/>
      <c r="T5" s="1420"/>
      <c r="U5" s="342"/>
      <c r="V5" s="299"/>
      <c r="W5" s="324"/>
      <c r="X5" s="295"/>
    </row>
    <row r="6" spans="1:25" ht="18.75" customHeight="1">
      <c r="A6" s="297"/>
      <c r="B6" s="298"/>
      <c r="C6" s="7"/>
      <c r="D6" s="7"/>
      <c r="E6" s="7"/>
      <c r="F6" s="1518"/>
      <c r="G6" s="1518"/>
      <c r="H6" s="299"/>
      <c r="I6" s="299"/>
      <c r="J6" s="299"/>
      <c r="K6" s="299"/>
      <c r="L6" s="299"/>
      <c r="M6" s="299"/>
      <c r="N6" s="299"/>
      <c r="O6" s="299"/>
      <c r="P6" s="299"/>
      <c r="Q6" s="299"/>
      <c r="R6" s="7"/>
      <c r="S6" s="1263"/>
      <c r="T6" s="1685" t="s">
        <v>293</v>
      </c>
      <c r="U6" s="1686"/>
      <c r="V6" s="300"/>
      <c r="W6" s="521"/>
      <c r="X6" s="295"/>
    </row>
    <row r="7" spans="1:25" ht="18.75">
      <c r="A7" s="297"/>
      <c r="B7" s="6" t="s">
        <v>0</v>
      </c>
      <c r="C7" s="7"/>
      <c r="D7" s="7"/>
      <c r="E7" s="31"/>
      <c r="F7" s="1683" t="s">
        <v>294</v>
      </c>
      <c r="G7" s="1695"/>
      <c r="H7" s="1695"/>
      <c r="I7" s="1695"/>
      <c r="J7" s="1695"/>
      <c r="K7" s="1684"/>
      <c r="L7" s="1683" t="s">
        <v>194</v>
      </c>
      <c r="M7" s="1695"/>
      <c r="N7" s="1695"/>
      <c r="O7" s="1695"/>
      <c r="P7" s="1695"/>
      <c r="Q7" s="1684"/>
      <c r="R7" s="299"/>
      <c r="S7" s="299"/>
      <c r="T7" s="720" t="s">
        <v>1</v>
      </c>
      <c r="U7" s="721" t="s">
        <v>2</v>
      </c>
      <c r="V7" s="338"/>
      <c r="W7" s="324"/>
      <c r="X7" s="295"/>
    </row>
    <row r="8" spans="1:25" ht="32.25" customHeight="1">
      <c r="A8" s="297"/>
      <c r="B8" s="520" t="s">
        <v>290</v>
      </c>
      <c r="C8" s="520" t="s">
        <v>291</v>
      </c>
      <c r="D8" s="863" t="s">
        <v>3</v>
      </c>
      <c r="E8" s="863" t="s">
        <v>4</v>
      </c>
      <c r="F8" s="509" t="s">
        <v>308</v>
      </c>
      <c r="G8" s="509" t="s">
        <v>384</v>
      </c>
      <c r="H8" s="509" t="s">
        <v>203</v>
      </c>
      <c r="I8" s="509" t="s">
        <v>205</v>
      </c>
      <c r="J8" s="509" t="s">
        <v>204</v>
      </c>
      <c r="K8" s="509" t="s">
        <v>195</v>
      </c>
      <c r="L8" s="855" t="s">
        <v>308</v>
      </c>
      <c r="M8" s="855" t="s">
        <v>384</v>
      </c>
      <c r="N8" s="317" t="s">
        <v>204</v>
      </c>
      <c r="O8" s="317" t="s">
        <v>203</v>
      </c>
      <c r="P8" s="509" t="s">
        <v>196</v>
      </c>
      <c r="Q8" s="509" t="s">
        <v>195</v>
      </c>
      <c r="R8" s="509" t="s">
        <v>5</v>
      </c>
      <c r="S8" s="509" t="s">
        <v>309</v>
      </c>
      <c r="T8" s="854" t="s">
        <v>6</v>
      </c>
      <c r="U8" s="653" t="s">
        <v>6</v>
      </c>
      <c r="V8" s="339" t="s">
        <v>295</v>
      </c>
      <c r="W8" s="918"/>
      <c r="X8" s="295"/>
    </row>
    <row r="9" spans="1:25" ht="18.75">
      <c r="A9" s="297"/>
      <c r="B9" s="864" t="s">
        <v>8</v>
      </c>
      <c r="C9" s="864" t="s">
        <v>9</v>
      </c>
      <c r="D9" s="865">
        <f t="shared" ref="D9:R9" si="0">SUM(D10:D21)</f>
        <v>4348.6100000000033</v>
      </c>
      <c r="E9" s="865">
        <f t="shared" si="0"/>
        <v>1746.5000000000018</v>
      </c>
      <c r="F9" s="865">
        <f t="shared" si="0"/>
        <v>9084.4</v>
      </c>
      <c r="G9" s="865">
        <f t="shared" si="0"/>
        <v>2028.76</v>
      </c>
      <c r="H9" s="865">
        <f t="shared" si="0"/>
        <v>0</v>
      </c>
      <c r="I9" s="865">
        <f t="shared" si="0"/>
        <v>0</v>
      </c>
      <c r="J9" s="865">
        <f t="shared" si="0"/>
        <v>0</v>
      </c>
      <c r="K9" s="865">
        <f t="shared" si="0"/>
        <v>0</v>
      </c>
      <c r="L9" s="865">
        <f t="shared" si="0"/>
        <v>9084.4</v>
      </c>
      <c r="M9" s="865">
        <f t="shared" si="0"/>
        <v>2028.76</v>
      </c>
      <c r="N9" s="865">
        <f t="shared" si="0"/>
        <v>0</v>
      </c>
      <c r="O9" s="865">
        <f t="shared" si="0"/>
        <v>0</v>
      </c>
      <c r="P9" s="865">
        <f t="shared" si="0"/>
        <v>0</v>
      </c>
      <c r="Q9" s="865">
        <f t="shared" si="0"/>
        <v>0</v>
      </c>
      <c r="R9" s="865">
        <f t="shared" si="0"/>
        <v>14914.87</v>
      </c>
      <c r="S9" s="866">
        <f>SUM(S10:S30)</f>
        <v>0</v>
      </c>
      <c r="T9" s="496">
        <f>T10+T11</f>
        <v>12312.76</v>
      </c>
      <c r="U9" s="496"/>
      <c r="V9" s="493">
        <f>(D9+T9-R9)+(K9+H9+S9-O9)-Q22+Q9</f>
        <v>1746.5000000000018</v>
      </c>
      <c r="W9" s="919">
        <f>V9-E9</f>
        <v>0</v>
      </c>
      <c r="X9" s="1519">
        <f>D9+SUM(F9:K9)-SUM(L9:S9)+T9</f>
        <v>1746.5000000000055</v>
      </c>
      <c r="Y9" s="1498">
        <f>X9-E9</f>
        <v>3.637978807091713E-12</v>
      </c>
    </row>
    <row r="10" spans="1:25" ht="18.75">
      <c r="A10" s="297"/>
      <c r="B10" s="867" t="s">
        <v>296</v>
      </c>
      <c r="C10" s="494" t="s">
        <v>9</v>
      </c>
      <c r="D10" s="868">
        <f>'BPA WH&lt;1&gt;'!Q5</f>
        <v>0</v>
      </c>
      <c r="E10" s="868">
        <f>'BPA WH&lt;1&gt;'!Q37</f>
        <v>1199.6000000000004</v>
      </c>
      <c r="F10" s="496"/>
      <c r="G10" s="496"/>
      <c r="H10" s="496"/>
      <c r="I10" s="496">
        <f>'BPA WH&lt;1&gt;'!P37</f>
        <v>0</v>
      </c>
      <c r="J10" s="496"/>
      <c r="K10" s="496">
        <f>'BPA WH&lt;1&gt;'!D37</f>
        <v>0</v>
      </c>
      <c r="L10" s="496">
        <f>SUM('BPA WH&lt;1&gt;'!F37:N37)</f>
        <v>9084.4</v>
      </c>
      <c r="M10" s="496">
        <f>'BPA WH&lt;1&gt;'!O37</f>
        <v>2028.76</v>
      </c>
      <c r="N10" s="496"/>
      <c r="O10" s="496"/>
      <c r="P10" s="496"/>
      <c r="Q10" s="496"/>
      <c r="R10" s="496"/>
      <c r="S10" s="496"/>
      <c r="T10" s="496">
        <f>'BPA WH&lt;1&gt;'!C37</f>
        <v>12312.76</v>
      </c>
      <c r="U10" s="496"/>
      <c r="V10" s="493">
        <f>T10-SUM(L10:Q10)+D10+K10+I10</f>
        <v>1199.6000000000004</v>
      </c>
      <c r="W10" s="919">
        <f t="shared" ref="W10:W14" si="1">V10-E10</f>
        <v>0</v>
      </c>
      <c r="X10" s="1519">
        <f>D10+SUM(F10:K10)-SUM(L10:S10)+T10</f>
        <v>1199.6000000000004</v>
      </c>
      <c r="Y10" s="1498">
        <f t="shared" ref="Y10:Y32" si="2">X10-E10</f>
        <v>0</v>
      </c>
    </row>
    <row r="11" spans="1:25" ht="18.75">
      <c r="A11" s="297"/>
      <c r="B11" s="867" t="s">
        <v>671</v>
      </c>
      <c r="C11" s="494" t="s">
        <v>9</v>
      </c>
      <c r="D11" s="868">
        <f>'BPA WH&lt;1&gt;'!S37</f>
        <v>632.10999999999922</v>
      </c>
      <c r="E11" s="495">
        <f>'BPA WH&lt;1&gt;'!W37</f>
        <v>-1.3642420526593924E-12</v>
      </c>
      <c r="F11" s="496"/>
      <c r="G11" s="496">
        <f>M10</f>
        <v>2028.76</v>
      </c>
      <c r="H11" s="496"/>
      <c r="I11" s="496"/>
      <c r="J11" s="496"/>
      <c r="K11" s="497"/>
      <c r="L11" s="496">
        <f>-'BPA WH&lt;1&gt;'!V37</f>
        <v>0</v>
      </c>
      <c r="M11" s="496"/>
      <c r="N11" s="496"/>
      <c r="O11" s="496"/>
      <c r="P11" s="496"/>
      <c r="Q11" s="496"/>
      <c r="R11" s="496">
        <f>'BPA WH&lt;1&gt;'!U37</f>
        <v>2660.8700000000003</v>
      </c>
      <c r="S11" s="496"/>
      <c r="T11" s="496">
        <v>0</v>
      </c>
      <c r="U11" s="496"/>
      <c r="V11" s="493">
        <f>D11+G11+R11+L11</f>
        <v>5321.74</v>
      </c>
      <c r="W11" s="919">
        <f t="shared" si="1"/>
        <v>5321.7400000000016</v>
      </c>
      <c r="X11" s="1502">
        <f>D11+SUM(F11:K11)-(SUM(L11:S11))</f>
        <v>0</v>
      </c>
      <c r="Y11" s="1498">
        <f t="shared" si="2"/>
        <v>1.3642420526593924E-12</v>
      </c>
    </row>
    <row r="12" spans="1:25" ht="18.75">
      <c r="A12" s="1714" t="s">
        <v>442</v>
      </c>
      <c r="B12" s="869" t="s">
        <v>653</v>
      </c>
      <c r="C12" s="870" t="s">
        <v>9</v>
      </c>
      <c r="D12" s="343">
        <f>'BPA WH&lt;1&gt;'!AR5</f>
        <v>486</v>
      </c>
      <c r="E12" s="343">
        <f>'BPA WH&lt;1&gt;'!AR37</f>
        <v>201.59999999999991</v>
      </c>
      <c r="F12" s="503">
        <f>'BPA WH&lt;1&gt;'!AN37</f>
        <v>1335.6</v>
      </c>
      <c r="G12" s="503"/>
      <c r="H12" s="503"/>
      <c r="I12" s="503"/>
      <c r="J12" s="503"/>
      <c r="K12" s="503"/>
      <c r="L12" s="503"/>
      <c r="M12" s="503"/>
      <c r="N12" s="503"/>
      <c r="O12" s="503"/>
      <c r="P12" s="503"/>
      <c r="Q12" s="503"/>
      <c r="R12" s="503">
        <f>'BPA WH&lt;1&gt;'!AQ37</f>
        <v>1620</v>
      </c>
      <c r="S12" s="503"/>
      <c r="T12" s="503"/>
      <c r="U12" s="503"/>
      <c r="V12" s="340">
        <f>D12+SUM(F12:K12)+SUM(L12:Q12)+R12</f>
        <v>3441.6</v>
      </c>
      <c r="W12" s="919">
        <f t="shared" si="1"/>
        <v>3240</v>
      </c>
      <c r="X12" s="1502">
        <f t="shared" ref="X12:X14" si="3">D12+SUM(F12:K12)-SUM(L12:S12)+T12</f>
        <v>201.59999999999991</v>
      </c>
      <c r="Y12" s="1498">
        <f t="shared" si="2"/>
        <v>0</v>
      </c>
    </row>
    <row r="13" spans="1:25" ht="18.75">
      <c r="A13" s="1715"/>
      <c r="B13" s="869" t="s">
        <v>563</v>
      </c>
      <c r="C13" s="870" t="s">
        <v>9</v>
      </c>
      <c r="D13" s="343">
        <f>'BPA WH&lt;1&gt;'!AY5</f>
        <v>3085.2000000000057</v>
      </c>
      <c r="E13" s="343">
        <f>'BPA WH&lt;1&gt;'!AY37</f>
        <v>126.00000000000546</v>
      </c>
      <c r="F13" s="503">
        <f>'BPA WH&lt;1&gt;'!AU37</f>
        <v>4798.7999999999993</v>
      </c>
      <c r="G13" s="503"/>
      <c r="H13" s="503">
        <f>'BPA WH&lt;1&gt;'!AV37</f>
        <v>0</v>
      </c>
      <c r="I13" s="503"/>
      <c r="J13" s="503"/>
      <c r="K13" s="503"/>
      <c r="L13" s="503"/>
      <c r="M13" s="503"/>
      <c r="N13" s="503"/>
      <c r="O13" s="503">
        <f>'BPA WH&lt;1&gt;'!AW37</f>
        <v>0</v>
      </c>
      <c r="P13" s="503"/>
      <c r="Q13" s="503"/>
      <c r="R13" s="503">
        <f>'BPA WH&lt;1&gt;'!AX37</f>
        <v>7758</v>
      </c>
      <c r="S13" s="503"/>
      <c r="T13" s="503"/>
      <c r="U13" s="503"/>
      <c r="V13" s="340">
        <f>D13+SUM(F13:K13)-SUM(L13:Q13)-R13</f>
        <v>126.00000000000546</v>
      </c>
      <c r="W13" s="919">
        <f t="shared" si="1"/>
        <v>0</v>
      </c>
      <c r="X13" s="1502">
        <f t="shared" si="3"/>
        <v>126.00000000000546</v>
      </c>
      <c r="Y13" s="1498">
        <f t="shared" si="2"/>
        <v>0</v>
      </c>
    </row>
    <row r="14" spans="1:25" ht="18.75">
      <c r="A14" s="1715"/>
      <c r="B14" s="869" t="s">
        <v>656</v>
      </c>
      <c r="C14" s="870" t="s">
        <v>9</v>
      </c>
      <c r="D14" s="343">
        <f>'BPA WH&lt;1&gt;'!CO5</f>
        <v>0</v>
      </c>
      <c r="E14" s="343">
        <f>'BPA WH&lt;1&gt;'!CO37</f>
        <v>0</v>
      </c>
      <c r="F14" s="503">
        <f>'BPA WH&lt;1&gt;'!CK37</f>
        <v>0</v>
      </c>
      <c r="G14" s="503">
        <f>-L11</f>
        <v>0</v>
      </c>
      <c r="H14" s="503">
        <f>-O18</f>
        <v>0</v>
      </c>
      <c r="I14" s="503"/>
      <c r="J14" s="503"/>
      <c r="K14" s="503"/>
      <c r="L14" s="503"/>
      <c r="M14" s="503"/>
      <c r="N14" s="503"/>
      <c r="O14" s="503"/>
      <c r="P14" s="503"/>
      <c r="Q14" s="503"/>
      <c r="R14" s="503">
        <f>-'BPA WH&lt;1&gt;'!BE37</f>
        <v>0</v>
      </c>
      <c r="S14" s="503"/>
      <c r="T14" s="503"/>
      <c r="U14" s="503"/>
      <c r="V14" s="340">
        <f>D14+SUM(F14:K14)+SUM(L14:Q14)+R14+S14</f>
        <v>0</v>
      </c>
      <c r="W14" s="919">
        <f t="shared" si="1"/>
        <v>0</v>
      </c>
      <c r="X14" s="1502">
        <f t="shared" si="3"/>
        <v>0</v>
      </c>
      <c r="Y14" s="1498">
        <f t="shared" si="2"/>
        <v>0</v>
      </c>
    </row>
    <row r="15" spans="1:25" ht="18.75">
      <c r="A15" s="1716"/>
      <c r="B15" s="869" t="s">
        <v>672</v>
      </c>
      <c r="C15" s="870" t="s">
        <v>9</v>
      </c>
      <c r="D15" s="343">
        <f>'BPA WH&lt;1&gt;'!BF5</f>
        <v>0</v>
      </c>
      <c r="E15" s="343">
        <f>'BPA WH&lt;1&gt;'!BF38</f>
        <v>0</v>
      </c>
      <c r="F15" s="503">
        <f>'BPA WH&lt;1&gt;'!BB37</f>
        <v>0</v>
      </c>
      <c r="G15" s="503"/>
      <c r="H15" s="503">
        <f>'BPA Product '!X37</f>
        <v>0</v>
      </c>
      <c r="I15" s="503"/>
      <c r="J15" s="503"/>
      <c r="K15" s="503"/>
      <c r="L15" s="503"/>
      <c r="M15" s="503"/>
      <c r="N15" s="503"/>
      <c r="O15" s="503"/>
      <c r="P15" s="503"/>
      <c r="Q15" s="503"/>
      <c r="R15" s="503">
        <f>'BPA Product '!AT37</f>
        <v>0</v>
      </c>
      <c r="S15" s="503"/>
      <c r="T15" s="503"/>
      <c r="U15" s="503"/>
      <c r="V15" s="340"/>
      <c r="W15" s="919"/>
      <c r="X15" s="1502"/>
      <c r="Y15" s="1498">
        <f t="shared" si="2"/>
        <v>0</v>
      </c>
    </row>
    <row r="16" spans="1:25" ht="18.75">
      <c r="A16" s="1717" t="s">
        <v>443</v>
      </c>
      <c r="B16" s="796" t="s">
        <v>653</v>
      </c>
      <c r="C16" s="797" t="s">
        <v>9</v>
      </c>
      <c r="D16" s="798">
        <f>'BPA WH&lt;1&gt;'!BM5</f>
        <v>-2.9842794901924208E-12</v>
      </c>
      <c r="E16" s="798">
        <f>'BPA WH&lt;1&gt;'!BM37</f>
        <v>17.999999999997016</v>
      </c>
      <c r="F16" s="799">
        <f>'BPA WH&lt;1&gt;'!BI37</f>
        <v>18</v>
      </c>
      <c r="G16" s="799"/>
      <c r="H16" s="799">
        <f>'BPA WH&lt;1&gt;'!BJ37</f>
        <v>0</v>
      </c>
      <c r="I16" s="799"/>
      <c r="J16" s="799"/>
      <c r="K16" s="799"/>
      <c r="L16" s="799"/>
      <c r="M16" s="799"/>
      <c r="N16" s="799"/>
      <c r="O16" s="799">
        <f>-'BPA WH&lt;1&gt;'!$BK$37</f>
        <v>0</v>
      </c>
      <c r="P16" s="799"/>
      <c r="Q16" s="799"/>
      <c r="R16" s="799">
        <f>'BPA WH&lt;1&gt;'!BL37</f>
        <v>0</v>
      </c>
      <c r="S16" s="799"/>
      <c r="T16" s="799"/>
      <c r="U16" s="799"/>
      <c r="V16" s="340">
        <f>D16+SUM(F16:K16)+SUM(L16:Q16)-R16+S16</f>
        <v>17.999999999997016</v>
      </c>
      <c r="W16" s="919">
        <f t="shared" ref="W16:W18" si="4">V16-E16</f>
        <v>0</v>
      </c>
      <c r="X16" s="1502">
        <f>D16+SUM(F16:K16)-SUM(L16:S16)+T16</f>
        <v>17.999999999997016</v>
      </c>
      <c r="Y16" s="1498">
        <f t="shared" si="2"/>
        <v>0</v>
      </c>
    </row>
    <row r="17" spans="1:26" ht="18.75">
      <c r="A17" s="1718"/>
      <c r="B17" s="796" t="s">
        <v>564</v>
      </c>
      <c r="C17" s="797" t="s">
        <v>9</v>
      </c>
      <c r="D17" s="798">
        <f>'BPA WH&lt;1&gt;'!BT5</f>
        <v>4.5474735088646412E-13</v>
      </c>
      <c r="E17" s="798">
        <f>'BPA WH&lt;1&gt;'!BT37</f>
        <v>4.5474735088646412E-13</v>
      </c>
      <c r="F17" s="799">
        <f>'BPA WH&lt;1&gt;'!BP37</f>
        <v>2718</v>
      </c>
      <c r="G17" s="799"/>
      <c r="H17" s="799">
        <f>'BPA WH&lt;1&gt;'!$BQ$37</f>
        <v>0</v>
      </c>
      <c r="I17" s="799"/>
      <c r="J17" s="799"/>
      <c r="K17" s="799"/>
      <c r="L17" s="799"/>
      <c r="M17" s="799"/>
      <c r="N17" s="799"/>
      <c r="O17" s="799">
        <f>'BPA WH&lt;1&gt;'!BR37</f>
        <v>0</v>
      </c>
      <c r="P17" s="799"/>
      <c r="Q17" s="799"/>
      <c r="R17" s="799">
        <f>'BPA WH&lt;1&gt;'!BS37</f>
        <v>2718</v>
      </c>
      <c r="S17" s="799"/>
      <c r="T17" s="799"/>
      <c r="U17" s="799"/>
      <c r="V17" s="340">
        <f>D17+SUM(F17:K17)-SUM(L17:Q17)-R17+S17</f>
        <v>4.5474735088646412E-13</v>
      </c>
      <c r="W17" s="919">
        <f t="shared" ref="W17" si="5">V17-E17</f>
        <v>0</v>
      </c>
      <c r="X17" s="1502">
        <f t="shared" ref="X17:X32" si="6">D17+SUM(F17:K17)-SUM(L17:S17)+T17</f>
        <v>4.5474735088646412E-13</v>
      </c>
      <c r="Y17" s="1498">
        <f t="shared" si="2"/>
        <v>0</v>
      </c>
    </row>
    <row r="18" spans="1:26" ht="18.75">
      <c r="A18" s="1718"/>
      <c r="B18" s="796" t="s">
        <v>656</v>
      </c>
      <c r="C18" s="797" t="s">
        <v>9</v>
      </c>
      <c r="D18" s="798">
        <f>'BPA WH&lt;1&gt;'!CA5</f>
        <v>0</v>
      </c>
      <c r="E18" s="798">
        <f>'BPA WH&lt;1&gt;'!CA37</f>
        <v>0</v>
      </c>
      <c r="F18" s="799">
        <f>'BPA WH&lt;1&gt;'!BW37</f>
        <v>8</v>
      </c>
      <c r="G18" s="799"/>
      <c r="H18" s="799">
        <f>'BPA WH&lt;1&gt;'!BY37</f>
        <v>0</v>
      </c>
      <c r="I18" s="799"/>
      <c r="J18" s="799"/>
      <c r="K18" s="799"/>
      <c r="L18" s="799"/>
      <c r="M18" s="799"/>
      <c r="N18" s="799"/>
      <c r="O18" s="799">
        <f>'BPA WH&lt;1&gt;'!BY29</f>
        <v>0</v>
      </c>
      <c r="P18" s="799"/>
      <c r="Q18" s="799"/>
      <c r="R18" s="799">
        <f>'BPA WH&lt;1&gt;'!BZ37</f>
        <v>8</v>
      </c>
      <c r="S18" s="799"/>
      <c r="T18" s="799"/>
      <c r="U18" s="799"/>
      <c r="V18" s="340">
        <f>D18+SUM(F18:K18)+SUM(L18:Q18)+R18+S18</f>
        <v>16</v>
      </c>
      <c r="W18" s="919">
        <f t="shared" si="4"/>
        <v>16</v>
      </c>
      <c r="X18" s="1502">
        <f t="shared" si="6"/>
        <v>0</v>
      </c>
      <c r="Y18" s="1498">
        <f t="shared" si="2"/>
        <v>0</v>
      </c>
    </row>
    <row r="19" spans="1:26" ht="18.75">
      <c r="A19" s="1719"/>
      <c r="B19" s="796" t="s">
        <v>672</v>
      </c>
      <c r="C19" s="797" t="s">
        <v>9</v>
      </c>
      <c r="D19" s="798">
        <f>'BPA WH&lt;1&gt;'!CC5</f>
        <v>61.6</v>
      </c>
      <c r="E19" s="798">
        <f>'BPA WH&lt;1&gt;'!CH36</f>
        <v>60</v>
      </c>
      <c r="F19" s="799">
        <f>'BPA Product '!T37</f>
        <v>148.4</v>
      </c>
      <c r="G19" s="799"/>
      <c r="H19" s="799">
        <f>'BPA WH&lt;1&gt;'!BD37</f>
        <v>0</v>
      </c>
      <c r="I19" s="799"/>
      <c r="J19" s="799"/>
      <c r="K19" s="799"/>
      <c r="L19" s="799"/>
      <c r="M19" s="799"/>
      <c r="N19" s="799"/>
      <c r="O19" s="799"/>
      <c r="P19" s="799"/>
      <c r="Q19" s="799"/>
      <c r="R19" s="799">
        <f>'BPA Product '!AN37</f>
        <v>150</v>
      </c>
      <c r="S19" s="799"/>
      <c r="T19" s="799"/>
      <c r="U19" s="799"/>
      <c r="V19" s="340"/>
      <c r="W19" s="919"/>
      <c r="X19" s="1502">
        <f t="shared" si="6"/>
        <v>60</v>
      </c>
      <c r="Y19" s="1498">
        <f t="shared" si="2"/>
        <v>0</v>
      </c>
    </row>
    <row r="20" spans="1:26" ht="18.75">
      <c r="A20" s="1720" t="s">
        <v>444</v>
      </c>
      <c r="B20" s="832" t="s">
        <v>564</v>
      </c>
      <c r="C20" s="833" t="s">
        <v>9</v>
      </c>
      <c r="D20" s="834">
        <f>'BPA WH&lt;1&gt;'!CW5</f>
        <v>83.699999999999989</v>
      </c>
      <c r="E20" s="834">
        <f>'BPA WH&lt;1&gt;'!CW37</f>
        <v>141.29999999999998</v>
      </c>
      <c r="F20" s="835">
        <f>'BPA WH&lt;1&gt;'!CR37</f>
        <v>57.599999999999994</v>
      </c>
      <c r="G20" s="835"/>
      <c r="H20" s="835">
        <f>'BPA WH&lt;1&gt;'!$CS$37</f>
        <v>0</v>
      </c>
      <c r="I20" s="835"/>
      <c r="J20" s="835"/>
      <c r="K20" s="835"/>
      <c r="L20" s="835"/>
      <c r="M20" s="835"/>
      <c r="N20" s="835"/>
      <c r="O20" s="835"/>
      <c r="P20" s="835"/>
      <c r="Q20" s="835">
        <f>'BPA WH&lt;1&gt;'!CU37</f>
        <v>0</v>
      </c>
      <c r="R20" s="835"/>
      <c r="S20" s="835"/>
      <c r="T20" s="835"/>
      <c r="U20" s="835"/>
      <c r="V20" s="340" t="e">
        <f>#REF!+SUM(#REF!)+SUM(#REF!)+#REF!+#REF!</f>
        <v>#REF!</v>
      </c>
      <c r="W20" s="919" t="e">
        <f>V20-#REF!</f>
        <v>#REF!</v>
      </c>
      <c r="X20" s="1502">
        <f t="shared" si="6"/>
        <v>141.29999999999998</v>
      </c>
      <c r="Y20" s="1498">
        <f t="shared" si="2"/>
        <v>0</v>
      </c>
    </row>
    <row r="21" spans="1:26" ht="18.75">
      <c r="A21" s="1721"/>
      <c r="B21" s="832" t="s">
        <v>656</v>
      </c>
      <c r="C21" s="833" t="s">
        <v>9</v>
      </c>
      <c r="D21" s="834">
        <f>'BPA WH&lt;1&gt;'!DE5</f>
        <v>0</v>
      </c>
      <c r="E21" s="834">
        <f>'BPA WH&lt;1&gt;'!DE37</f>
        <v>0</v>
      </c>
      <c r="F21" s="835">
        <f>'BPA WH&lt;1&gt;'!CZ37</f>
        <v>0</v>
      </c>
      <c r="G21" s="835"/>
      <c r="H21" s="835">
        <f t="shared" ref="H21" si="7">-O22</f>
        <v>0</v>
      </c>
      <c r="I21" s="835"/>
      <c r="J21" s="835"/>
      <c r="K21" s="835"/>
      <c r="L21" s="835"/>
      <c r="M21" s="835"/>
      <c r="N21" s="835"/>
      <c r="O21" s="835"/>
      <c r="P21" s="835"/>
      <c r="Q21" s="835">
        <f>-'BPA WH&lt;1&gt;'!DC37</f>
        <v>0</v>
      </c>
      <c r="R21" s="835">
        <f>-'BPA Product '!AU37</f>
        <v>0</v>
      </c>
      <c r="S21" s="835"/>
      <c r="T21" s="835"/>
      <c r="U21" s="835"/>
      <c r="V21" s="340">
        <f>D20+SUM(F20:K20)+SUM(L20:Q20)+R20+S20</f>
        <v>141.29999999999998</v>
      </c>
      <c r="W21" s="919">
        <f>V21-E20</f>
        <v>0</v>
      </c>
      <c r="X21" s="1502">
        <f t="shared" si="6"/>
        <v>0</v>
      </c>
      <c r="Y21" s="1498">
        <f t="shared" si="2"/>
        <v>0</v>
      </c>
    </row>
    <row r="22" spans="1:26" ht="18.75">
      <c r="A22" s="297"/>
      <c r="B22" s="864" t="s">
        <v>185</v>
      </c>
      <c r="C22" s="864" t="s">
        <v>9</v>
      </c>
      <c r="D22" s="335">
        <f>SUM(D23:D30)</f>
        <v>-1.7763568394002505E-14</v>
      </c>
      <c r="E22" s="335">
        <f t="shared" ref="E22:S22" si="8">SUM(E23:E30)</f>
        <v>338.4</v>
      </c>
      <c r="F22" s="502">
        <f t="shared" si="8"/>
        <v>338.4</v>
      </c>
      <c r="G22" s="502">
        <f t="shared" si="8"/>
        <v>0</v>
      </c>
      <c r="H22" s="502">
        <f t="shared" si="8"/>
        <v>0</v>
      </c>
      <c r="I22" s="502">
        <f t="shared" si="8"/>
        <v>0</v>
      </c>
      <c r="J22" s="502">
        <f t="shared" si="8"/>
        <v>0</v>
      </c>
      <c r="K22" s="502">
        <f t="shared" si="8"/>
        <v>0</v>
      </c>
      <c r="L22" s="505">
        <f t="shared" si="8"/>
        <v>338.4</v>
      </c>
      <c r="M22" s="505">
        <f t="shared" si="8"/>
        <v>0</v>
      </c>
      <c r="N22" s="505">
        <f t="shared" si="8"/>
        <v>0</v>
      </c>
      <c r="O22" s="505">
        <f t="shared" si="8"/>
        <v>0</v>
      </c>
      <c r="P22" s="505">
        <f t="shared" si="8"/>
        <v>0</v>
      </c>
      <c r="Q22" s="502">
        <f t="shared" si="8"/>
        <v>0</v>
      </c>
      <c r="R22" s="871">
        <f t="shared" si="8"/>
        <v>0</v>
      </c>
      <c r="S22" s="871">
        <f t="shared" si="8"/>
        <v>0</v>
      </c>
      <c r="T22" s="872">
        <f>SUM(T23:T30)</f>
        <v>338.4</v>
      </c>
      <c r="U22" s="1504">
        <f>'Year 2019 Summary '!O17</f>
        <v>1428.3000000000002</v>
      </c>
      <c r="V22" s="340"/>
      <c r="W22" s="919"/>
      <c r="X22" s="1502">
        <f t="shared" si="6"/>
        <v>338.4</v>
      </c>
      <c r="Y22" s="1498">
        <f t="shared" si="2"/>
        <v>0</v>
      </c>
    </row>
    <row r="23" spans="1:26" ht="18.75">
      <c r="A23" s="297"/>
      <c r="B23" s="867" t="s">
        <v>297</v>
      </c>
      <c r="C23" s="494" t="s">
        <v>9</v>
      </c>
      <c r="D23" s="868">
        <f>'BPA WH&lt;1&gt;'!AK5</f>
        <v>0</v>
      </c>
      <c r="E23" s="868">
        <f>'BPA WH&lt;1&gt;'!AK37</f>
        <v>0</v>
      </c>
      <c r="F23" s="496"/>
      <c r="G23" s="496"/>
      <c r="H23" s="496"/>
      <c r="I23" s="496"/>
      <c r="J23" s="496"/>
      <c r="K23" s="496"/>
      <c r="L23" s="496">
        <f>-SUM('BPA WH&lt;1&gt;'!AH37:AJ37)</f>
        <v>0</v>
      </c>
      <c r="M23" s="496"/>
      <c r="N23" s="496"/>
      <c r="O23" s="496"/>
      <c r="P23" s="496"/>
      <c r="Q23" s="496"/>
      <c r="R23" s="496"/>
      <c r="S23" s="496"/>
      <c r="T23" s="496">
        <v>0</v>
      </c>
      <c r="U23" s="496"/>
      <c r="V23" s="340">
        <f>SUM(V26:V31)+V24</f>
        <v>338.4</v>
      </c>
      <c r="W23" s="920">
        <f>V23-SUM(E22:E30)</f>
        <v>-338.4</v>
      </c>
      <c r="X23" s="1502">
        <f t="shared" si="6"/>
        <v>0</v>
      </c>
      <c r="Y23" s="1498">
        <f t="shared" si="2"/>
        <v>0</v>
      </c>
      <c r="Z23" s="1360"/>
    </row>
    <row r="24" spans="1:26" ht="18.75">
      <c r="A24" s="297"/>
      <c r="B24" s="867" t="s">
        <v>298</v>
      </c>
      <c r="C24" s="494" t="s">
        <v>9</v>
      </c>
      <c r="D24" s="868">
        <f>'BPA WH&lt;1&gt;'!AD5</f>
        <v>0</v>
      </c>
      <c r="E24" s="868">
        <f>'BPA WH&lt;1&gt;'!AD37</f>
        <v>0</v>
      </c>
      <c r="F24" s="496"/>
      <c r="G24" s="496"/>
      <c r="H24" s="496">
        <f>'BPA WH&lt;1&gt;'!DO36</f>
        <v>0</v>
      </c>
      <c r="I24" s="496"/>
      <c r="J24" s="496"/>
      <c r="K24" s="496"/>
      <c r="L24" s="496">
        <f>SUM('BPA WH&lt;1&gt;'!AA37:AC37)</f>
        <v>338.4</v>
      </c>
      <c r="M24" s="496"/>
      <c r="N24" s="496"/>
      <c r="O24" s="496"/>
      <c r="P24" s="496"/>
      <c r="Q24" s="496"/>
      <c r="R24" s="496"/>
      <c r="S24" s="496"/>
      <c r="T24" s="496">
        <f>'BPA WH&lt;1&gt;'!Z37</f>
        <v>338.4</v>
      </c>
      <c r="U24" s="496"/>
      <c r="V24" s="340">
        <f>D23+T23+SUM(L23:Q23)</f>
        <v>0</v>
      </c>
      <c r="W24" s="919">
        <f t="shared" ref="W24:W34" si="9">V24-E23</f>
        <v>0</v>
      </c>
      <c r="X24" s="1502">
        <f t="shared" si="6"/>
        <v>0</v>
      </c>
      <c r="Y24" s="1498">
        <f t="shared" si="2"/>
        <v>0</v>
      </c>
    </row>
    <row r="25" spans="1:26" ht="18.75">
      <c r="A25" s="1734" t="s">
        <v>445</v>
      </c>
      <c r="B25" s="875" t="s">
        <v>655</v>
      </c>
      <c r="C25" s="874" t="s">
        <v>9</v>
      </c>
      <c r="D25" s="344">
        <f>'BPA WH&lt;1&gt;'!EG5</f>
        <v>0</v>
      </c>
      <c r="E25" s="344">
        <f>'BPA WH&lt;1&gt;'!EG37</f>
        <v>0</v>
      </c>
      <c r="F25" s="504">
        <f>'BPA WH&lt;1&gt;'!EC37</f>
        <v>0</v>
      </c>
      <c r="G25" s="504"/>
      <c r="H25" s="504"/>
      <c r="I25" s="504"/>
      <c r="J25" s="504"/>
      <c r="K25" s="504"/>
      <c r="L25" s="504"/>
      <c r="M25" s="504"/>
      <c r="N25" s="504"/>
      <c r="O25" s="504"/>
      <c r="P25" s="504"/>
      <c r="Q25" s="504">
        <f>-'BPA WH&lt;1&gt;'!EE37</f>
        <v>0</v>
      </c>
      <c r="R25" s="504"/>
      <c r="S25" s="504"/>
      <c r="T25" s="504"/>
      <c r="U25" s="504"/>
      <c r="V25" s="340">
        <f>D24+T24+SUM(F24:K24)-Q24</f>
        <v>338.4</v>
      </c>
      <c r="W25" s="919">
        <f t="shared" si="9"/>
        <v>338.4</v>
      </c>
      <c r="X25" s="1502">
        <f t="shared" si="6"/>
        <v>0</v>
      </c>
      <c r="Y25" s="1498">
        <f t="shared" si="2"/>
        <v>0</v>
      </c>
    </row>
    <row r="26" spans="1:26" ht="18.75" outlineLevel="1">
      <c r="A26" s="1735"/>
      <c r="B26" s="873" t="s">
        <v>565</v>
      </c>
      <c r="C26" s="874" t="s">
        <v>9</v>
      </c>
      <c r="D26" s="344">
        <f>'BPA WH&lt;1&gt;'!EN5</f>
        <v>0</v>
      </c>
      <c r="E26" s="344">
        <f>'BPA WH&lt;1&gt;'!EN37</f>
        <v>0</v>
      </c>
      <c r="F26" s="504">
        <f>'BPA WH&lt;1&gt;'!EJ37</f>
        <v>0</v>
      </c>
      <c r="G26" s="504"/>
      <c r="H26" s="504"/>
      <c r="I26" s="504"/>
      <c r="J26" s="504"/>
      <c r="K26" s="504"/>
      <c r="L26" s="504"/>
      <c r="M26" s="504"/>
      <c r="N26" s="504"/>
      <c r="O26" s="504"/>
      <c r="P26" s="504"/>
      <c r="Q26" s="504">
        <f>-'BPA WH&lt;1&gt;'!EE38</f>
        <v>0</v>
      </c>
      <c r="R26" s="504"/>
      <c r="S26" s="504"/>
      <c r="T26" s="504"/>
      <c r="U26" s="504"/>
      <c r="V26" s="340">
        <f>D25+SUM(F25:K25)+SUM(L25:Q25)</f>
        <v>0</v>
      </c>
      <c r="W26" s="919">
        <f t="shared" si="9"/>
        <v>0</v>
      </c>
      <c r="X26" s="1502">
        <f t="shared" si="6"/>
        <v>0</v>
      </c>
      <c r="Y26" s="1498">
        <f t="shared" si="2"/>
        <v>0</v>
      </c>
    </row>
    <row r="27" spans="1:26" ht="18.75" outlineLevel="1">
      <c r="A27" s="1736"/>
      <c r="B27" s="873" t="s">
        <v>657</v>
      </c>
      <c r="C27" s="874" t="s">
        <v>9</v>
      </c>
      <c r="D27" s="344">
        <f>'BPA WH&lt;1&gt;'!EU5</f>
        <v>0</v>
      </c>
      <c r="E27" s="344">
        <f>'BPA WH&lt;1&gt;'!EU37</f>
        <v>0</v>
      </c>
      <c r="F27" s="504">
        <f>'BPA WH&lt;1&gt;'!EQ37</f>
        <v>0</v>
      </c>
      <c r="G27" s="504"/>
      <c r="H27" s="504"/>
      <c r="I27" s="504"/>
      <c r="J27" s="504"/>
      <c r="K27" s="504"/>
      <c r="L27" s="504"/>
      <c r="M27" s="504"/>
      <c r="N27" s="504"/>
      <c r="O27" s="504"/>
      <c r="P27" s="504"/>
      <c r="Q27" s="504">
        <f>-'BPA WH&lt;1&gt;'!ES37</f>
        <v>0</v>
      </c>
      <c r="R27" s="504"/>
      <c r="S27" s="504"/>
      <c r="T27" s="504"/>
      <c r="U27" s="504"/>
      <c r="V27" s="340">
        <f>D26+SUM(F26:K26)+SUM(L26:Q26)</f>
        <v>0</v>
      </c>
      <c r="W27" s="919">
        <f t="shared" si="9"/>
        <v>0</v>
      </c>
      <c r="X27" s="1502">
        <f t="shared" si="6"/>
        <v>0</v>
      </c>
      <c r="Y27" s="1498">
        <f t="shared" si="2"/>
        <v>0</v>
      </c>
    </row>
    <row r="28" spans="1:26" ht="18.75" outlineLevel="1">
      <c r="A28" s="1737" t="s">
        <v>446</v>
      </c>
      <c r="B28" s="875" t="s">
        <v>654</v>
      </c>
      <c r="C28" s="876" t="s">
        <v>9</v>
      </c>
      <c r="D28" s="801">
        <f>'BPA WH&lt;1&gt;'!DL5</f>
        <v>0</v>
      </c>
      <c r="E28" s="801">
        <f>'BPA WH&lt;1&gt;'!DL37</f>
        <v>0</v>
      </c>
      <c r="F28" s="802">
        <f>'BPA WH&lt;1&gt;'!DH37</f>
        <v>0</v>
      </c>
      <c r="G28" s="802"/>
      <c r="H28" s="802"/>
      <c r="I28" s="802"/>
      <c r="J28" s="802"/>
      <c r="K28" s="802"/>
      <c r="L28" s="802"/>
      <c r="M28" s="802"/>
      <c r="N28" s="802"/>
      <c r="O28" s="802"/>
      <c r="P28" s="802"/>
      <c r="Q28" s="802">
        <f>-'BPA WH&lt;1&gt;'!DJ37</f>
        <v>0</v>
      </c>
      <c r="R28" s="802"/>
      <c r="S28" s="802"/>
      <c r="T28" s="802"/>
      <c r="U28" s="802"/>
      <c r="V28" s="340">
        <f>D27+F27+Q27</f>
        <v>0</v>
      </c>
      <c r="W28" s="919">
        <f t="shared" si="9"/>
        <v>0</v>
      </c>
      <c r="X28" s="1502">
        <f t="shared" si="6"/>
        <v>0</v>
      </c>
      <c r="Y28" s="1498">
        <f t="shared" si="2"/>
        <v>0</v>
      </c>
    </row>
    <row r="29" spans="1:26" ht="18.75" outlineLevel="1">
      <c r="A29" s="1738"/>
      <c r="B29" s="875" t="s">
        <v>566</v>
      </c>
      <c r="C29" s="876" t="s">
        <v>9</v>
      </c>
      <c r="D29" s="801">
        <f>'BPA WH&lt;1&gt;'!DS5</f>
        <v>0</v>
      </c>
      <c r="E29" s="801">
        <f>'BPA WH&lt;1&gt;'!DS37</f>
        <v>338.4</v>
      </c>
      <c r="F29" s="802">
        <f>'BPA WH&lt;1&gt;'!DO37</f>
        <v>338.4</v>
      </c>
      <c r="G29" s="802"/>
      <c r="H29" s="802"/>
      <c r="I29" s="802"/>
      <c r="J29" s="802"/>
      <c r="K29" s="802"/>
      <c r="L29" s="802"/>
      <c r="M29" s="802"/>
      <c r="N29" s="802"/>
      <c r="O29" s="802"/>
      <c r="P29" s="802"/>
      <c r="Q29" s="802">
        <f>'BPA WH&lt;1&gt;'!DQ37</f>
        <v>0</v>
      </c>
      <c r="R29" s="802">
        <f>'BPA Product '!AW37</f>
        <v>0</v>
      </c>
      <c r="S29" s="802"/>
      <c r="T29" s="802"/>
      <c r="U29" s="802"/>
      <c r="V29" s="340">
        <f>D28+SUM(F28:K28)+SUM(L28:Q28)</f>
        <v>0</v>
      </c>
      <c r="W29" s="919">
        <f t="shared" si="9"/>
        <v>0</v>
      </c>
      <c r="X29" s="1502">
        <f t="shared" si="6"/>
        <v>338.4</v>
      </c>
      <c r="Y29" s="1498">
        <f t="shared" si="2"/>
        <v>0</v>
      </c>
    </row>
    <row r="30" spans="1:26" ht="18.75" outlineLevel="1">
      <c r="A30" s="1739"/>
      <c r="B30" s="875" t="s">
        <v>658</v>
      </c>
      <c r="C30" s="876" t="s">
        <v>9</v>
      </c>
      <c r="D30" s="801">
        <f>'BPA WH&lt;1&gt;'!DZ5</f>
        <v>-1.7763568394002505E-14</v>
      </c>
      <c r="E30" s="801">
        <f>'BPA WH&lt;1&gt;'!DZ37</f>
        <v>-1.7763568394002505E-14</v>
      </c>
      <c r="F30" s="802">
        <f>'BPA WH&lt;1&gt;'!DV37</f>
        <v>0</v>
      </c>
      <c r="G30" s="802"/>
      <c r="H30" s="803"/>
      <c r="I30" s="802"/>
      <c r="J30" s="802"/>
      <c r="K30" s="802"/>
      <c r="L30" s="802"/>
      <c r="M30" s="802"/>
      <c r="N30" s="802"/>
      <c r="O30" s="804"/>
      <c r="P30" s="802"/>
      <c r="Q30" s="802">
        <f>-'BPA WH&lt;1&gt;'!DX37</f>
        <v>0</v>
      </c>
      <c r="R30" s="802"/>
      <c r="S30" s="802"/>
      <c r="T30" s="802"/>
      <c r="U30" s="802"/>
      <c r="V30" s="340">
        <f>D29+SUM(F29:K29)+SUM(L29:Q29)</f>
        <v>338.4</v>
      </c>
      <c r="W30" s="919">
        <f t="shared" si="9"/>
        <v>0</v>
      </c>
      <c r="X30" s="1502">
        <f t="shared" si="6"/>
        <v>-1.7763568394002505E-14</v>
      </c>
      <c r="Y30" s="1498">
        <f t="shared" si="2"/>
        <v>0</v>
      </c>
    </row>
    <row r="31" spans="1:26" ht="23.25" outlineLevel="1">
      <c r="A31" s="297"/>
      <c r="B31" s="1507" t="s">
        <v>106</v>
      </c>
      <c r="C31" s="1506" t="s">
        <v>9</v>
      </c>
      <c r="D31" s="1505">
        <f t="shared" ref="D31:T31" si="10">D22+D9</f>
        <v>4348.6100000000033</v>
      </c>
      <c r="E31" s="1505">
        <f t="shared" si="10"/>
        <v>2084.9000000000019</v>
      </c>
      <c r="F31" s="1505">
        <f t="shared" si="10"/>
        <v>9422.7999999999993</v>
      </c>
      <c r="G31" s="1505">
        <f t="shared" si="10"/>
        <v>2028.76</v>
      </c>
      <c r="H31" s="1505">
        <f t="shared" si="10"/>
        <v>0</v>
      </c>
      <c r="I31" s="1505">
        <f t="shared" si="10"/>
        <v>0</v>
      </c>
      <c r="J31" s="1505">
        <f t="shared" si="10"/>
        <v>0</v>
      </c>
      <c r="K31" s="1505">
        <f t="shared" si="10"/>
        <v>0</v>
      </c>
      <c r="L31" s="1505">
        <f t="shared" si="10"/>
        <v>9422.7999999999993</v>
      </c>
      <c r="M31" s="1505">
        <f t="shared" si="10"/>
        <v>2028.76</v>
      </c>
      <c r="N31" s="1505">
        <f t="shared" si="10"/>
        <v>0</v>
      </c>
      <c r="O31" s="1505">
        <f t="shared" si="10"/>
        <v>0</v>
      </c>
      <c r="P31" s="1505">
        <f t="shared" si="10"/>
        <v>0</v>
      </c>
      <c r="Q31" s="1505">
        <f t="shared" si="10"/>
        <v>0</v>
      </c>
      <c r="R31" s="1505">
        <f t="shared" si="10"/>
        <v>14914.87</v>
      </c>
      <c r="S31" s="1505">
        <f t="shared" si="10"/>
        <v>0</v>
      </c>
      <c r="T31" s="1505">
        <f t="shared" si="10"/>
        <v>12651.16</v>
      </c>
      <c r="U31" s="1505">
        <f>'Year 2019 Summary '!O15</f>
        <v>169520.54</v>
      </c>
      <c r="V31" s="687">
        <f>D30+SUM(F30:K30)+SUM(L30:T30)</f>
        <v>-1.7763568394002505E-14</v>
      </c>
      <c r="W31" s="920">
        <f t="shared" si="9"/>
        <v>0</v>
      </c>
      <c r="X31" s="1502">
        <f t="shared" si="6"/>
        <v>2084.9000000000015</v>
      </c>
      <c r="Y31" s="1498">
        <f t="shared" si="2"/>
        <v>0</v>
      </c>
    </row>
    <row r="32" spans="1:26" ht="24.75" customHeight="1">
      <c r="A32" s="297"/>
      <c r="B32" s="532" t="s">
        <v>10</v>
      </c>
      <c r="C32" s="533" t="s">
        <v>9</v>
      </c>
      <c r="D32" s="877">
        <f>'PPCL By Product'!B5</f>
        <v>48.554000000000002</v>
      </c>
      <c r="E32" s="877">
        <f>'PPCL By Product'!D42</f>
        <v>86.987999999999943</v>
      </c>
      <c r="F32" s="506"/>
      <c r="G32" s="506"/>
      <c r="H32" s="506"/>
      <c r="I32" s="506"/>
      <c r="J32" s="506"/>
      <c r="K32" s="506"/>
      <c r="L32" s="506"/>
      <c r="M32" s="506"/>
      <c r="N32" s="506"/>
      <c r="O32" s="506"/>
      <c r="P32" s="506"/>
      <c r="Q32" s="506"/>
      <c r="R32" s="877">
        <f>'PPCL By Product'!D41</f>
        <v>608.40000000000009</v>
      </c>
      <c r="S32" s="877"/>
      <c r="T32" s="878">
        <f>E32+R32-D32</f>
        <v>646.83400000000006</v>
      </c>
      <c r="U32" s="879">
        <f>'Year 2019 Summary '!O20</f>
        <v>6145.0779999999995</v>
      </c>
      <c r="V32" s="340">
        <f>D31+F31-R31-O31</f>
        <v>-1143.4599999999973</v>
      </c>
      <c r="W32" s="919">
        <f t="shared" si="9"/>
        <v>-3228.3599999999992</v>
      </c>
      <c r="X32" s="1502">
        <f t="shared" si="6"/>
        <v>86.987999999999943</v>
      </c>
      <c r="Y32" s="1498">
        <f t="shared" si="2"/>
        <v>0</v>
      </c>
    </row>
    <row r="33" spans="1:24" ht="18.75">
      <c r="A33" s="297"/>
      <c r="B33" s="532" t="s">
        <v>11</v>
      </c>
      <c r="C33" s="533" t="s">
        <v>9</v>
      </c>
      <c r="D33" s="877">
        <f>'PPCL By Product'!F5</f>
        <v>11.824999999999999</v>
      </c>
      <c r="E33" s="877">
        <f>'PPCL By Product'!H42</f>
        <v>6.6909999999999989</v>
      </c>
      <c r="F33" s="506"/>
      <c r="G33" s="506"/>
      <c r="H33" s="506"/>
      <c r="I33" s="506"/>
      <c r="J33" s="506"/>
      <c r="K33" s="506"/>
      <c r="L33" s="506"/>
      <c r="M33" s="506"/>
      <c r="N33" s="506"/>
      <c r="O33" s="506"/>
      <c r="P33" s="506"/>
      <c r="Q33" s="506"/>
      <c r="R33" s="877">
        <f>'PPCL By Product'!H41</f>
        <v>23</v>
      </c>
      <c r="S33" s="877"/>
      <c r="T33" s="878">
        <f>E33+R33-D33</f>
        <v>17.866</v>
      </c>
      <c r="U33" s="879">
        <f>'Year 2019 Summary '!O21</f>
        <v>333.11399999999998</v>
      </c>
      <c r="V33" s="340">
        <f>D32+T32+R32</f>
        <v>1303.788</v>
      </c>
      <c r="W33" s="919">
        <f t="shared" si="9"/>
        <v>1216.8000000000002</v>
      </c>
      <c r="X33" s="295"/>
    </row>
    <row r="34" spans="1:24" ht="18.75">
      <c r="A34" s="297"/>
      <c r="B34" s="532" t="s">
        <v>299</v>
      </c>
      <c r="C34" s="533" t="s">
        <v>9</v>
      </c>
      <c r="D34" s="877">
        <v>0</v>
      </c>
      <c r="E34" s="877">
        <f>'PPCL By Product'!L42</f>
        <v>0</v>
      </c>
      <c r="F34" s="506"/>
      <c r="G34" s="506"/>
      <c r="H34" s="506"/>
      <c r="I34" s="506"/>
      <c r="J34" s="506"/>
      <c r="K34" s="506"/>
      <c r="L34" s="506"/>
      <c r="M34" s="506"/>
      <c r="N34" s="506"/>
      <c r="O34" s="506"/>
      <c r="P34" s="506"/>
      <c r="Q34" s="506"/>
      <c r="R34" s="877">
        <f>'PPCL By Product'!L41</f>
        <v>0</v>
      </c>
      <c r="S34" s="877"/>
      <c r="T34" s="878">
        <v>0</v>
      </c>
      <c r="U34" s="879">
        <v>0</v>
      </c>
      <c r="V34" s="340">
        <f>D33+T33+R33</f>
        <v>52.691000000000003</v>
      </c>
      <c r="W34" s="919">
        <f t="shared" si="9"/>
        <v>46</v>
      </c>
      <c r="X34" s="295"/>
    </row>
    <row r="35" spans="1:24" ht="18.75" hidden="1">
      <c r="A35" s="297"/>
      <c r="B35" s="9"/>
      <c r="C35" s="10"/>
      <c r="D35" s="11"/>
      <c r="E35" s="11"/>
      <c r="F35" s="11"/>
      <c r="G35" s="12"/>
      <c r="H35" s="301"/>
      <c r="I35" s="13"/>
      <c r="J35" s="14"/>
      <c r="K35" s="299"/>
      <c r="L35" s="300"/>
      <c r="M35" s="300"/>
      <c r="N35" s="300"/>
      <c r="O35" s="300"/>
      <c r="P35" s="300"/>
      <c r="Q35" s="300"/>
      <c r="R35" s="300"/>
      <c r="S35" s="300"/>
      <c r="T35" s="300"/>
      <c r="U35" s="302"/>
      <c r="V35" s="341"/>
      <c r="W35" s="918"/>
      <c r="X35" s="295"/>
    </row>
    <row r="36" spans="1:24" ht="18.75">
      <c r="A36" s="297"/>
      <c r="B36" s="6" t="s">
        <v>300</v>
      </c>
      <c r="C36" s="10"/>
      <c r="D36" s="11"/>
      <c r="E36" s="11"/>
      <c r="F36" s="11"/>
      <c r="G36" s="12"/>
      <c r="H36" s="301"/>
      <c r="I36" s="13"/>
      <c r="J36" s="14"/>
      <c r="K36" s="299"/>
      <c r="L36" s="300"/>
      <c r="M36" s="300"/>
      <c r="N36" s="300"/>
      <c r="O36" s="300"/>
      <c r="P36" s="300"/>
      <c r="Q36" s="300"/>
      <c r="R36" s="300"/>
      <c r="S36" s="300"/>
      <c r="T36" s="1509"/>
      <c r="U36" s="300"/>
      <c r="V36" s="387"/>
      <c r="W36" s="921"/>
      <c r="X36" s="1311"/>
    </row>
    <row r="37" spans="1:24" ht="18.75">
      <c r="A37" s="297"/>
      <c r="B37" s="1698" t="s">
        <v>290</v>
      </c>
      <c r="C37" s="1698" t="s">
        <v>291</v>
      </c>
      <c r="D37" s="1698" t="s">
        <v>3</v>
      </c>
      <c r="E37" s="1698" t="s">
        <v>4</v>
      </c>
      <c r="F37" s="1683" t="s">
        <v>301</v>
      </c>
      <c r="G37" s="1695"/>
      <c r="H37" s="1684"/>
      <c r="I37" s="1683" t="s">
        <v>12</v>
      </c>
      <c r="J37" s="1684"/>
      <c r="K37" s="520" t="s">
        <v>385</v>
      </c>
      <c r="L37" s="520" t="s">
        <v>130</v>
      </c>
      <c r="M37" s="520" t="s">
        <v>205</v>
      </c>
      <c r="N37" s="299"/>
      <c r="O37" s="300"/>
      <c r="P37" s="300"/>
      <c r="Q37" s="300"/>
      <c r="R37" s="300"/>
      <c r="S37" s="300"/>
      <c r="T37" s="387"/>
      <c r="U37" s="300"/>
      <c r="V37" s="300"/>
      <c r="W37" s="921"/>
      <c r="X37" s="295"/>
    </row>
    <row r="38" spans="1:24" ht="15.75">
      <c r="A38" s="297"/>
      <c r="B38" s="1700"/>
      <c r="C38" s="1700"/>
      <c r="D38" s="1700"/>
      <c r="E38" s="1700"/>
      <c r="F38" s="856" t="s">
        <v>13</v>
      </c>
      <c r="G38" s="856" t="s">
        <v>14</v>
      </c>
      <c r="H38" s="856" t="s">
        <v>195</v>
      </c>
      <c r="I38" s="856" t="s">
        <v>13</v>
      </c>
      <c r="J38" s="856" t="s">
        <v>14</v>
      </c>
      <c r="K38" s="856" t="s">
        <v>386</v>
      </c>
      <c r="L38" s="520" t="s">
        <v>386</v>
      </c>
      <c r="M38" s="520"/>
      <c r="N38" s="885"/>
      <c r="O38" s="300"/>
      <c r="P38" s="300"/>
      <c r="Q38" s="300"/>
      <c r="R38" s="300"/>
      <c r="S38" s="300"/>
      <c r="T38" s="300"/>
      <c r="U38" s="300"/>
      <c r="V38" s="342"/>
      <c r="W38" s="324"/>
      <c r="X38" s="295"/>
    </row>
    <row r="39" spans="1:24" ht="15.75">
      <c r="A39" s="939"/>
      <c r="B39" s="532" t="s">
        <v>396</v>
      </c>
      <c r="C39" s="533" t="s">
        <v>9</v>
      </c>
      <c r="D39" s="534">
        <f>D10+D23+D24</f>
        <v>0</v>
      </c>
      <c r="E39" s="535">
        <f>E10+E24+E23</f>
        <v>1199.6000000000004</v>
      </c>
      <c r="F39" s="534">
        <f>T10</f>
        <v>12312.76</v>
      </c>
      <c r="G39" s="940">
        <f>T22</f>
        <v>338.4</v>
      </c>
      <c r="H39" s="940">
        <f>K10</f>
        <v>0</v>
      </c>
      <c r="I39" s="534">
        <f>SUM(F12:F21)</f>
        <v>9084.4</v>
      </c>
      <c r="J39" s="940">
        <f>L23+L24</f>
        <v>338.4</v>
      </c>
      <c r="K39" s="940">
        <f>M10</f>
        <v>2028.76</v>
      </c>
      <c r="L39" s="940">
        <f>R9</f>
        <v>14914.87</v>
      </c>
      <c r="M39" s="940">
        <f>I10</f>
        <v>0</v>
      </c>
      <c r="N39" s="379"/>
      <c r="O39" s="688"/>
      <c r="P39" s="300"/>
      <c r="Q39" s="300"/>
      <c r="R39" s="300"/>
      <c r="S39" s="300"/>
      <c r="T39" s="300"/>
      <c r="U39" s="300"/>
      <c r="V39" s="342"/>
      <c r="W39" s="324"/>
      <c r="X39" s="295"/>
    </row>
    <row r="40" spans="1:24" s="943" customFormat="1" ht="21" customHeight="1">
      <c r="A40" s="939"/>
      <c r="B40" s="532" t="s">
        <v>395</v>
      </c>
      <c r="C40" s="533" t="s">
        <v>9</v>
      </c>
      <c r="D40" s="534">
        <f>D11</f>
        <v>632.10999999999922</v>
      </c>
      <c r="E40" s="535">
        <f>E11</f>
        <v>-1.3642420526593924E-12</v>
      </c>
      <c r="F40" s="534"/>
      <c r="G40" s="940"/>
      <c r="H40" s="940"/>
      <c r="I40" s="534">
        <f>L11</f>
        <v>0</v>
      </c>
      <c r="J40" s="940"/>
      <c r="K40" s="940">
        <f>G11</f>
        <v>2028.76</v>
      </c>
      <c r="L40" s="940">
        <f>R11</f>
        <v>2660.8700000000003</v>
      </c>
      <c r="M40" s="944"/>
      <c r="N40" s="379"/>
      <c r="O40" s="688"/>
      <c r="P40" s="300"/>
      <c r="Q40" s="300"/>
      <c r="R40" s="300"/>
      <c r="S40" s="300"/>
      <c r="T40" s="300"/>
      <c r="U40" s="300"/>
      <c r="V40" s="941"/>
      <c r="W40" s="942"/>
    </row>
    <row r="41" spans="1:24" s="943" customFormat="1" ht="21" customHeight="1">
      <c r="A41" s="939"/>
      <c r="B41" s="532" t="s">
        <v>397</v>
      </c>
      <c r="C41" s="533" t="s">
        <v>9</v>
      </c>
      <c r="D41" s="534"/>
      <c r="E41" s="535"/>
      <c r="F41" s="534"/>
      <c r="G41" s="940"/>
      <c r="H41" s="940"/>
      <c r="I41" s="1681">
        <f>SUM(I39:J40)</f>
        <v>9422.7999999999993</v>
      </c>
      <c r="J41" s="1682"/>
      <c r="K41" s="940"/>
      <c r="L41" s="944"/>
      <c r="M41" s="944"/>
      <c r="N41" s="379"/>
      <c r="O41" s="345"/>
      <c r="P41" s="300"/>
      <c r="Q41" s="300"/>
      <c r="R41" s="300"/>
      <c r="S41" s="300"/>
      <c r="T41" s="300"/>
      <c r="U41" s="300"/>
      <c r="V41" s="941"/>
      <c r="W41" s="942"/>
    </row>
    <row r="42" spans="1:24" s="943" customFormat="1" ht="21" customHeight="1">
      <c r="A42" s="297"/>
      <c r="B42" s="9"/>
      <c r="C42" s="10"/>
      <c r="D42" s="11"/>
      <c r="E42" s="15"/>
      <c r="F42" s="11"/>
      <c r="G42" s="11"/>
      <c r="H42" s="301"/>
      <c r="I42" s="299"/>
      <c r="J42" s="14"/>
      <c r="K42" s="299"/>
      <c r="L42" s="300"/>
      <c r="M42" s="300"/>
      <c r="N42" s="300"/>
      <c r="O42" s="300"/>
      <c r="P42" s="300"/>
      <c r="Q42" s="300"/>
      <c r="R42" s="300"/>
      <c r="S42" s="300"/>
      <c r="T42" s="300"/>
      <c r="U42" s="300"/>
      <c r="V42" s="941"/>
      <c r="W42" s="942"/>
    </row>
    <row r="43" spans="1:24" ht="18.75">
      <c r="A43" s="297"/>
      <c r="B43" s="6" t="s">
        <v>429</v>
      </c>
      <c r="C43" s="10"/>
      <c r="D43" s="11"/>
      <c r="E43" s="15"/>
      <c r="F43" s="11"/>
      <c r="G43" s="11"/>
      <c r="H43" s="301"/>
      <c r="I43" s="13"/>
      <c r="J43" s="14"/>
      <c r="K43" s="299"/>
      <c r="L43" s="300"/>
      <c r="M43" s="300"/>
      <c r="N43" s="300"/>
      <c r="O43" s="300"/>
      <c r="P43" s="300"/>
      <c r="Q43" s="300"/>
      <c r="R43" s="300"/>
      <c r="S43" s="300"/>
      <c r="T43" s="300"/>
      <c r="U43" s="300"/>
      <c r="V43" s="300"/>
      <c r="W43" s="922"/>
      <c r="X43" s="295"/>
    </row>
    <row r="44" spans="1:24" ht="15.75">
      <c r="A44" s="297"/>
      <c r="B44" s="520" t="s">
        <v>290</v>
      </c>
      <c r="C44" s="520" t="s">
        <v>291</v>
      </c>
      <c r="D44" s="520" t="s">
        <v>1</v>
      </c>
      <c r="E44" s="15"/>
      <c r="F44" s="11"/>
      <c r="G44" s="11"/>
      <c r="H44" s="301"/>
      <c r="I44" s="13"/>
      <c r="J44" s="14"/>
      <c r="K44" s="299"/>
      <c r="L44" s="300"/>
      <c r="M44" s="300"/>
      <c r="N44" s="300"/>
      <c r="O44" s="300"/>
      <c r="P44" s="300"/>
      <c r="Q44" s="300"/>
      <c r="R44" s="300"/>
      <c r="S44" s="300"/>
      <c r="T44" s="300"/>
      <c r="U44" s="300"/>
      <c r="V44" s="300"/>
      <c r="W44" s="922"/>
      <c r="X44" s="295"/>
    </row>
    <row r="45" spans="1:24" ht="15.75">
      <c r="A45" s="297"/>
      <c r="B45" s="16" t="s">
        <v>317</v>
      </c>
      <c r="C45" s="17" t="s">
        <v>9</v>
      </c>
      <c r="D45" s="18">
        <f>SUM(F28:F30)</f>
        <v>338.4</v>
      </c>
      <c r="E45" s="19"/>
      <c r="F45" s="11"/>
      <c r="G45" s="12"/>
      <c r="H45" s="301"/>
      <c r="I45" s="13"/>
      <c r="J45" s="14"/>
      <c r="K45" s="299"/>
      <c r="L45" s="300"/>
      <c r="M45" s="300"/>
      <c r="N45" s="300"/>
      <c r="O45" s="300"/>
      <c r="P45" s="300"/>
      <c r="Q45" s="300"/>
      <c r="R45" s="300"/>
      <c r="S45" s="299"/>
      <c r="T45" s="299"/>
      <c r="U45" s="299"/>
      <c r="V45" s="300"/>
      <c r="W45" s="922"/>
      <c r="X45" s="295"/>
    </row>
    <row r="46" spans="1:24" ht="15.75">
      <c r="A46" s="297"/>
      <c r="B46" s="880" t="s">
        <v>15</v>
      </c>
      <c r="C46" s="533" t="s">
        <v>9</v>
      </c>
      <c r="D46" s="534">
        <f>F25+F27</f>
        <v>0</v>
      </c>
      <c r="E46" s="26"/>
      <c r="F46" s="300"/>
      <c r="G46" s="12"/>
      <c r="H46" s="301"/>
      <c r="I46" s="13"/>
      <c r="J46" s="14"/>
      <c r="K46" s="299"/>
      <c r="L46" s="300"/>
      <c r="M46" s="300"/>
      <c r="N46" s="300"/>
      <c r="O46" s="299"/>
      <c r="P46" s="300"/>
      <c r="Q46" s="300"/>
      <c r="R46" s="300"/>
      <c r="S46" s="300"/>
      <c r="T46" s="300"/>
      <c r="U46" s="300"/>
      <c r="V46" s="300"/>
      <c r="W46" s="922"/>
      <c r="X46" s="295"/>
    </row>
    <row r="47" spans="1:24" ht="15.75">
      <c r="A47" s="297"/>
      <c r="B47" s="880" t="s">
        <v>16</v>
      </c>
      <c r="C47" s="533" t="s">
        <v>9</v>
      </c>
      <c r="D47" s="534">
        <v>0</v>
      </c>
      <c r="E47" s="19"/>
      <c r="F47" s="11"/>
      <c r="G47" s="12"/>
      <c r="H47" s="301"/>
      <c r="I47" s="13"/>
      <c r="J47" s="14"/>
      <c r="K47" s="1290"/>
      <c r="L47" s="300"/>
      <c r="M47" s="300"/>
      <c r="N47" s="300"/>
      <c r="O47" s="300"/>
      <c r="P47" s="300"/>
      <c r="Q47" s="300"/>
      <c r="R47" s="300"/>
      <c r="S47" s="300"/>
      <c r="T47" s="300"/>
      <c r="U47" s="300"/>
      <c r="V47" s="300"/>
      <c r="W47" s="922"/>
      <c r="X47" s="295"/>
    </row>
    <row r="48" spans="1:24" ht="21">
      <c r="A48" s="297"/>
      <c r="B48" s="20"/>
      <c r="C48" s="10"/>
      <c r="D48" s="11"/>
      <c r="E48" s="11"/>
      <c r="F48" s="11"/>
      <c r="G48" s="12"/>
      <c r="H48" s="301"/>
      <c r="I48" s="13"/>
      <c r="J48" s="14"/>
      <c r="K48" s="650"/>
      <c r="L48" s="300"/>
      <c r="M48" s="300"/>
      <c r="N48" s="302"/>
      <c r="O48" s="300"/>
      <c r="P48" s="300"/>
      <c r="Q48" s="300"/>
      <c r="R48" s="300"/>
      <c r="S48" s="300"/>
      <c r="T48" s="300"/>
      <c r="U48" s="300"/>
      <c r="V48" s="300"/>
      <c r="W48" s="922"/>
      <c r="X48" s="295"/>
    </row>
    <row r="49" spans="1:93" ht="18.75">
      <c r="A49" s="297"/>
      <c r="B49" s="6" t="s">
        <v>404</v>
      </c>
      <c r="C49" s="6"/>
      <c r="D49" s="7"/>
      <c r="E49" s="7"/>
      <c r="F49" s="7"/>
      <c r="G49" s="12"/>
      <c r="H49" s="301"/>
      <c r="I49" s="1673" t="s">
        <v>420</v>
      </c>
      <c r="J49" s="1674"/>
      <c r="K49" s="1674"/>
      <c r="L49" s="1674"/>
      <c r="M49" s="1674"/>
      <c r="N49" s="1674"/>
      <c r="O49" s="1675"/>
      <c r="P49" s="1676" t="s">
        <v>417</v>
      </c>
      <c r="Q49" s="1677"/>
      <c r="R49" s="300"/>
      <c r="S49" s="300"/>
      <c r="T49" s="302"/>
      <c r="U49" s="300"/>
      <c r="V49" s="300"/>
      <c r="W49" s="922"/>
      <c r="X49" s="295"/>
    </row>
    <row r="50" spans="1:93" ht="15.75">
      <c r="A50" s="297"/>
      <c r="B50" s="1698" t="s">
        <v>290</v>
      </c>
      <c r="C50" s="1698" t="s">
        <v>291</v>
      </c>
      <c r="D50" s="1698" t="s">
        <v>3</v>
      </c>
      <c r="E50" s="1698" t="s">
        <v>4</v>
      </c>
      <c r="F50" s="1698" t="s">
        <v>302</v>
      </c>
      <c r="G50" s="1679" t="s">
        <v>505</v>
      </c>
      <c r="H50" s="1680"/>
      <c r="I50" s="1669" t="s">
        <v>421</v>
      </c>
      <c r="J50" s="1670"/>
      <c r="K50" s="1678" t="s">
        <v>303</v>
      </c>
      <c r="L50" s="1678"/>
      <c r="M50" s="1687" t="s">
        <v>304</v>
      </c>
      <c r="N50" s="1694"/>
      <c r="O50" s="1688"/>
      <c r="P50" s="1671" t="s">
        <v>418</v>
      </c>
      <c r="Q50" s="1672"/>
      <c r="R50" s="300"/>
      <c r="S50" s="300"/>
      <c r="T50" s="33"/>
      <c r="U50" s="300"/>
      <c r="V50" s="300"/>
      <c r="W50" s="922"/>
      <c r="X50" s="300"/>
      <c r="Y50" s="299"/>
      <c r="Z50" s="299"/>
    </row>
    <row r="51" spans="1:93" ht="15.75">
      <c r="A51" s="297"/>
      <c r="B51" s="1699"/>
      <c r="C51" s="1699"/>
      <c r="D51" s="1699"/>
      <c r="E51" s="1699"/>
      <c r="F51" s="1699"/>
      <c r="G51" s="1679" t="s">
        <v>18</v>
      </c>
      <c r="H51" s="1680"/>
      <c r="I51" s="1669" t="s">
        <v>18</v>
      </c>
      <c r="J51" s="1670"/>
      <c r="K51" s="1678" t="s">
        <v>305</v>
      </c>
      <c r="L51" s="1678"/>
      <c r="M51" s="1687" t="s">
        <v>18</v>
      </c>
      <c r="N51" s="1688"/>
      <c r="O51" s="854" t="s">
        <v>7</v>
      </c>
      <c r="P51" s="1671" t="s">
        <v>18</v>
      </c>
      <c r="Q51" s="1672"/>
      <c r="R51" s="1050"/>
      <c r="S51" s="300"/>
      <c r="T51" s="300"/>
      <c r="U51" s="300"/>
      <c r="V51" s="300"/>
      <c r="W51" s="922"/>
      <c r="X51" s="300"/>
      <c r="Y51" s="299"/>
      <c r="Z51" s="299"/>
    </row>
    <row r="52" spans="1:93" ht="15.75">
      <c r="A52" s="297"/>
      <c r="B52" s="1700"/>
      <c r="C52" s="1700"/>
      <c r="D52" s="1700"/>
      <c r="E52" s="1700"/>
      <c r="F52" s="1700"/>
      <c r="G52" s="860" t="s">
        <v>1</v>
      </c>
      <c r="H52" s="1046" t="s">
        <v>19</v>
      </c>
      <c r="I52" s="1043" t="s">
        <v>1</v>
      </c>
      <c r="J52" s="653" t="s">
        <v>19</v>
      </c>
      <c r="K52" s="1687" t="s">
        <v>1</v>
      </c>
      <c r="L52" s="1688"/>
      <c r="M52" s="858" t="s">
        <v>1</v>
      </c>
      <c r="N52" s="23" t="s">
        <v>19</v>
      </c>
      <c r="O52" s="23" t="s">
        <v>19</v>
      </c>
      <c r="P52" s="1051" t="s">
        <v>1</v>
      </c>
      <c r="Q52" s="653" t="s">
        <v>19</v>
      </c>
      <c r="R52" s="1050"/>
      <c r="S52" s="300"/>
      <c r="T52" s="300"/>
      <c r="U52" s="300"/>
      <c r="V52" s="300"/>
      <c r="W52" s="922"/>
      <c r="X52" s="299"/>
      <c r="Y52" s="342"/>
      <c r="Z52" s="299"/>
    </row>
    <row r="53" spans="1:93" ht="15.75">
      <c r="A53" s="297"/>
      <c r="B53" s="881" t="s">
        <v>20</v>
      </c>
      <c r="C53" s="533" t="s">
        <v>9</v>
      </c>
      <c r="D53" s="882">
        <f>'Raw Material'!G38</f>
        <v>455.20299999999997</v>
      </c>
      <c r="E53" s="882">
        <f>'Raw Material'!G42</f>
        <v>72.011000000000422</v>
      </c>
      <c r="F53" s="882">
        <f>'Raw Material'!G39</f>
        <v>10575.352000000001</v>
      </c>
      <c r="G53" s="1047">
        <f>(D53-E53)+F53</f>
        <v>10958.544</v>
      </c>
      <c r="H53" s="1048">
        <f>'Year 2019 Summary '!O30</f>
        <v>143054.25114163719</v>
      </c>
      <c r="I53" s="1053">
        <f>G53-P53</f>
        <v>10958.544</v>
      </c>
      <c r="J53" s="1044">
        <f>'Year 2019 Summary '!O31</f>
        <v>143054.25114163719</v>
      </c>
      <c r="K53" s="883">
        <f>F89</f>
        <v>-292.05491789561665</v>
      </c>
      <c r="L53" s="884"/>
      <c r="M53" s="1421">
        <f>(I53+K53)/T31</f>
        <v>0.84312340387003115</v>
      </c>
      <c r="N53" s="24">
        <f>'Year 2019 Summary '!O100</f>
        <v>0.84387562204342426</v>
      </c>
      <c r="O53" s="25">
        <f>'Year 2019 Summary '!P100</f>
        <v>0.84606021968856249</v>
      </c>
      <c r="P53" s="1054"/>
      <c r="Q53" s="24">
        <f>'Year 2019 Summary '!O32</f>
        <v>0</v>
      </c>
      <c r="R53" s="1508">
        <f>D53+F53-G53</f>
        <v>72.011000000000422</v>
      </c>
      <c r="S53" s="885">
        <f>R53-E53</f>
        <v>0</v>
      </c>
      <c r="T53" s="300"/>
      <c r="U53" s="300"/>
      <c r="V53" s="300"/>
      <c r="W53" s="922"/>
      <c r="X53" s="299"/>
      <c r="Y53" s="342"/>
      <c r="Z53" s="299"/>
    </row>
    <row r="54" spans="1:93" ht="15.75">
      <c r="A54" s="297"/>
      <c r="B54" s="532" t="s">
        <v>21</v>
      </c>
      <c r="C54" s="533" t="s">
        <v>9</v>
      </c>
      <c r="D54" s="886">
        <f>'Raw Material'!D38</f>
        <v>55.78</v>
      </c>
      <c r="E54" s="886">
        <f>'Raw Material'!D42</f>
        <v>55.512999999999465</v>
      </c>
      <c r="F54" s="886">
        <f>'Raw Material'!D39</f>
        <v>3481.5639999999994</v>
      </c>
      <c r="G54" s="1047">
        <f>D54-E54+F54</f>
        <v>3481.8310000000001</v>
      </c>
      <c r="H54" s="1049">
        <f>'Year 2019 Summary '!O33</f>
        <v>46374.371203143564</v>
      </c>
      <c r="I54" s="1053">
        <f>G54-P54</f>
        <v>3481.8310000000001</v>
      </c>
      <c r="J54" s="1045">
        <f>'Year 2019 Summary '!O34</f>
        <v>46374.371203143564</v>
      </c>
      <c r="K54" s="883">
        <f>F90</f>
        <v>-15.350563996099936</v>
      </c>
      <c r="L54" s="888"/>
      <c r="M54" s="1421">
        <f>(I54+K54)/T31</f>
        <v>0.27400494784698798</v>
      </c>
      <c r="N54" s="887">
        <f>'Year 2019 Summary '!O101</f>
        <v>0.27356196012084177</v>
      </c>
      <c r="O54" s="889">
        <f>'Year 2019 Summary '!P101</f>
        <v>0.26989464269639296</v>
      </c>
      <c r="P54" s="1055"/>
      <c r="Q54" s="24">
        <f>'Year 2019 Summary '!O35</f>
        <v>0</v>
      </c>
      <c r="R54" s="1508">
        <f>D54+F54-G54</f>
        <v>55.512999999999465</v>
      </c>
      <c r="S54" s="885">
        <f>R54-E54</f>
        <v>0</v>
      </c>
      <c r="T54" s="300"/>
      <c r="U54" s="300"/>
      <c r="V54" s="299"/>
      <c r="W54" s="922"/>
      <c r="X54" s="299"/>
      <c r="Y54" s="342"/>
      <c r="Z54" s="299"/>
    </row>
    <row r="55" spans="1:93" ht="15.75">
      <c r="A55" s="297"/>
      <c r="B55" s="9"/>
      <c r="C55" s="10"/>
      <c r="D55" s="26"/>
      <c r="E55" s="26"/>
      <c r="F55" s="26"/>
      <c r="G55" s="27"/>
      <c r="H55" s="28"/>
      <c r="I55" s="28"/>
      <c r="J55" s="29"/>
      <c r="K55" s="28"/>
      <c r="L55" s="28"/>
      <c r="M55" s="1298"/>
      <c r="N55" s="28"/>
      <c r="O55" s="1419"/>
      <c r="P55" s="302"/>
      <c r="Q55" s="302"/>
      <c r="R55" s="853"/>
      <c r="S55" s="300"/>
      <c r="T55" s="300"/>
      <c r="U55" s="300"/>
      <c r="V55" s="299"/>
      <c r="W55" s="922"/>
      <c r="X55" s="299"/>
      <c r="Y55" s="342"/>
      <c r="Z55" s="299"/>
    </row>
    <row r="56" spans="1:93" ht="18.75">
      <c r="A56" s="297"/>
      <c r="B56" s="21"/>
      <c r="C56" s="21"/>
      <c r="D56" s="22"/>
      <c r="E56" s="22"/>
      <c r="F56" s="22"/>
      <c r="G56" s="30"/>
      <c r="H56" s="28"/>
      <c r="I56" s="1303"/>
      <c r="J56" s="30"/>
      <c r="K56" s="1303"/>
      <c r="L56" s="1303"/>
      <c r="M56" s="1403"/>
      <c r="N56" s="1400"/>
      <c r="O56" s="300"/>
      <c r="P56" s="300"/>
      <c r="Q56" s="300"/>
      <c r="R56" s="300"/>
      <c r="S56" s="300"/>
      <c r="T56" s="300"/>
      <c r="U56" s="300"/>
      <c r="V56" s="300"/>
      <c r="W56" s="922"/>
      <c r="X56" s="291"/>
      <c r="Y56" s="291"/>
      <c r="Z56" s="291"/>
      <c r="AA56" s="291"/>
      <c r="AB56" s="291"/>
      <c r="AC56" s="291"/>
      <c r="AD56" s="291"/>
      <c r="AE56" s="291"/>
      <c r="AF56" s="1405"/>
      <c r="AG56" s="1405"/>
      <c r="AH56" s="1405"/>
      <c r="AI56" s="1405"/>
      <c r="AJ56" s="1405"/>
      <c r="AK56" s="1405"/>
      <c r="AL56" s="1405"/>
      <c r="AM56" s="1405"/>
      <c r="AN56" s="1405"/>
      <c r="AO56" s="1405"/>
      <c r="AP56" s="1405"/>
      <c r="AQ56" s="1405"/>
      <c r="AR56" s="1405"/>
      <c r="AS56" s="1405"/>
      <c r="AT56" s="1405"/>
      <c r="AU56" s="1405"/>
      <c r="AV56" s="1405"/>
      <c r="AW56" s="1405"/>
      <c r="AX56" s="1405"/>
      <c r="AY56" s="1405"/>
      <c r="AZ56" s="1405"/>
      <c r="BA56" s="1405"/>
      <c r="BB56" s="1405"/>
      <c r="BC56" s="1405"/>
      <c r="BD56" s="1405"/>
      <c r="BE56" s="1405"/>
      <c r="BF56" s="1405"/>
      <c r="BG56" s="1405"/>
      <c r="BH56" s="1405"/>
      <c r="BI56" s="1405"/>
      <c r="BJ56" s="1405"/>
      <c r="BK56" s="1405"/>
      <c r="BL56" s="1405"/>
      <c r="BM56" s="1405"/>
      <c r="BN56" s="1405"/>
      <c r="BO56" s="1405"/>
      <c r="BP56" s="1405"/>
      <c r="BQ56" s="1405"/>
      <c r="BR56" s="1405"/>
      <c r="BS56" s="1405"/>
      <c r="BT56" s="1405"/>
      <c r="BU56" s="1405"/>
      <c r="BV56" s="1405"/>
      <c r="BW56" s="1405"/>
      <c r="BX56" s="1405"/>
      <c r="BY56" s="1405"/>
      <c r="BZ56" s="1405"/>
      <c r="CA56" s="1405"/>
      <c r="CB56" s="1405"/>
      <c r="CC56" s="1405"/>
      <c r="CD56" s="1405"/>
      <c r="CE56" s="1405"/>
      <c r="CF56" s="1405"/>
      <c r="CG56" s="1405"/>
      <c r="CH56" s="1405"/>
      <c r="CI56" s="1405"/>
      <c r="CJ56" s="1405"/>
      <c r="CK56" s="1405"/>
      <c r="CL56" s="1405"/>
      <c r="CM56" s="1405"/>
      <c r="CN56" s="1405"/>
      <c r="CO56" s="1405"/>
    </row>
    <row r="57" spans="1:93" ht="18.75">
      <c r="A57" s="297"/>
      <c r="B57" s="6" t="s">
        <v>405</v>
      </c>
      <c r="C57" s="6"/>
      <c r="D57" s="7"/>
      <c r="E57" s="7"/>
      <c r="F57" s="7"/>
      <c r="G57" s="7"/>
      <c r="H57" s="7"/>
      <c r="I57" s="299"/>
      <c r="J57" s="299"/>
      <c r="K57" s="299"/>
      <c r="L57" s="1722"/>
      <c r="M57" s="1723"/>
      <c r="N57" s="857"/>
      <c r="O57" s="857"/>
      <c r="P57" s="325"/>
      <c r="Q57" s="299"/>
      <c r="R57" s="299"/>
      <c r="S57" s="299"/>
      <c r="T57" s="299"/>
      <c r="U57" s="299"/>
      <c r="V57" s="300"/>
      <c r="W57" s="922"/>
      <c r="X57" s="291"/>
      <c r="Y57" s="291"/>
      <c r="Z57" s="291"/>
      <c r="AA57" s="291"/>
      <c r="AB57" s="291"/>
      <c r="AC57" s="291"/>
      <c r="AD57" s="291"/>
      <c r="AE57" s="291"/>
      <c r="AF57" s="1405"/>
      <c r="AG57" s="1405"/>
      <c r="AH57" s="1405"/>
      <c r="AI57" s="1405"/>
      <c r="AJ57" s="1405"/>
      <c r="AK57" s="1405"/>
      <c r="AL57" s="1405"/>
      <c r="AM57" s="1405"/>
      <c r="AN57" s="1405"/>
      <c r="AO57" s="1405"/>
      <c r="AP57" s="1405"/>
      <c r="AQ57" s="1405"/>
      <c r="AR57" s="1405"/>
      <c r="AS57" s="1405"/>
      <c r="AT57" s="1405"/>
      <c r="AU57" s="1405"/>
      <c r="AV57" s="1405"/>
      <c r="AW57" s="1405"/>
      <c r="AX57" s="1405"/>
      <c r="AY57" s="1405"/>
      <c r="AZ57" s="1405"/>
      <c r="BA57" s="1405"/>
      <c r="BB57" s="1405"/>
      <c r="BC57" s="1405"/>
      <c r="BD57" s="1405"/>
      <c r="BE57" s="1405"/>
      <c r="BF57" s="1405"/>
      <c r="BG57" s="1405"/>
      <c r="BH57" s="1405"/>
      <c r="BI57" s="1405"/>
      <c r="BJ57" s="1405"/>
      <c r="BK57" s="1405"/>
      <c r="BL57" s="1405"/>
      <c r="BM57" s="1405"/>
      <c r="BN57" s="1405"/>
      <c r="BO57" s="1405"/>
      <c r="BP57" s="1405"/>
      <c r="BQ57" s="1405"/>
      <c r="BR57" s="1405"/>
      <c r="BS57" s="1405"/>
      <c r="BT57" s="1405"/>
      <c r="BU57" s="1405"/>
      <c r="BV57" s="1405"/>
      <c r="BW57" s="1405"/>
      <c r="BX57" s="1405"/>
      <c r="BY57" s="1405"/>
      <c r="BZ57" s="1405"/>
      <c r="CA57" s="1405"/>
      <c r="CB57" s="1405"/>
      <c r="CC57" s="1405"/>
      <c r="CD57" s="1405"/>
      <c r="CE57" s="1405"/>
      <c r="CF57" s="1405"/>
      <c r="CG57" s="1405"/>
      <c r="CH57" s="1405"/>
      <c r="CI57" s="1405"/>
      <c r="CJ57" s="1405"/>
      <c r="CK57" s="1405"/>
      <c r="CL57" s="1405"/>
      <c r="CM57" s="1405"/>
      <c r="CN57" s="1405"/>
      <c r="CO57" s="1405"/>
    </row>
    <row r="58" spans="1:93" ht="15.75" hidden="1">
      <c r="A58" s="297"/>
      <c r="B58" s="1698" t="s">
        <v>290</v>
      </c>
      <c r="C58" s="1698" t="s">
        <v>291</v>
      </c>
      <c r="D58" s="1698" t="s">
        <v>3</v>
      </c>
      <c r="E58" s="1698" t="s">
        <v>4</v>
      </c>
      <c r="F58" s="1698" t="s">
        <v>302</v>
      </c>
      <c r="G58" s="1728" t="s">
        <v>441</v>
      </c>
      <c r="H58" s="1731" t="s">
        <v>306</v>
      </c>
      <c r="I58" s="1732"/>
      <c r="J58" s="1731"/>
      <c r="K58" s="1732"/>
      <c r="L58" s="1722"/>
      <c r="M58" s="1723"/>
      <c r="N58" s="299"/>
      <c r="O58" s="857"/>
      <c r="P58" s="857"/>
      <c r="Q58" s="325"/>
      <c r="R58" s="325"/>
      <c r="S58" s="299"/>
      <c r="T58" s="299"/>
      <c r="U58" s="299"/>
      <c r="V58" s="342"/>
      <c r="W58" s="922"/>
      <c r="X58" s="291"/>
      <c r="Y58" s="291"/>
      <c r="Z58" s="291"/>
      <c r="AA58" s="291"/>
      <c r="AB58" s="291"/>
      <c r="AC58" s="291"/>
      <c r="AD58" s="291"/>
      <c r="AE58" s="291"/>
      <c r="AF58" s="1405"/>
      <c r="AG58" s="1405"/>
      <c r="AH58" s="1405"/>
      <c r="AI58" s="1405"/>
      <c r="AJ58" s="1405"/>
      <c r="AK58" s="1405"/>
      <c r="AL58" s="1405"/>
      <c r="AM58" s="1405"/>
      <c r="AN58" s="1405"/>
      <c r="AO58" s="1405"/>
      <c r="AP58" s="1405"/>
      <c r="AQ58" s="1405"/>
      <c r="AR58" s="1405"/>
      <c r="AS58" s="1405"/>
      <c r="AT58" s="1405"/>
      <c r="AU58" s="1405"/>
      <c r="AV58" s="1405"/>
      <c r="AW58" s="1405"/>
      <c r="AX58" s="1405"/>
      <c r="AY58" s="1405"/>
      <c r="AZ58" s="1405"/>
      <c r="BA58" s="1405"/>
      <c r="BB58" s="1405"/>
      <c r="BC58" s="1405"/>
      <c r="BD58" s="1405"/>
      <c r="BE58" s="1405"/>
      <c r="BF58" s="1405"/>
      <c r="BG58" s="1405"/>
      <c r="BH58" s="1405"/>
      <c r="BI58" s="1405"/>
      <c r="BJ58" s="1405"/>
      <c r="BK58" s="1405"/>
      <c r="BL58" s="1405"/>
      <c r="BM58" s="1405"/>
      <c r="BN58" s="1405"/>
      <c r="BO58" s="1405"/>
      <c r="BP58" s="1405"/>
      <c r="BQ58" s="1405"/>
      <c r="BR58" s="1405"/>
      <c r="BS58" s="1405"/>
      <c r="BT58" s="1405"/>
      <c r="BU58" s="1405"/>
      <c r="BV58" s="1405"/>
      <c r="BW58" s="1405"/>
      <c r="BX58" s="1405"/>
      <c r="BY58" s="1405"/>
      <c r="BZ58" s="1405"/>
      <c r="CA58" s="1405"/>
      <c r="CB58" s="1405"/>
      <c r="CC58" s="1405"/>
      <c r="CD58" s="1405"/>
      <c r="CE58" s="1405"/>
      <c r="CF58" s="1405"/>
      <c r="CG58" s="1405"/>
      <c r="CH58" s="1405"/>
      <c r="CI58" s="1405"/>
      <c r="CJ58" s="1405"/>
      <c r="CK58" s="1405"/>
      <c r="CL58" s="1405"/>
      <c r="CM58" s="1405"/>
      <c r="CN58" s="1405"/>
      <c r="CO58" s="1405"/>
    </row>
    <row r="59" spans="1:93" ht="15.75" hidden="1">
      <c r="A59" s="297"/>
      <c r="B59" s="1699"/>
      <c r="C59" s="1699"/>
      <c r="D59" s="1699"/>
      <c r="E59" s="1699"/>
      <c r="F59" s="1699"/>
      <c r="G59" s="1729"/>
      <c r="H59" s="1683" t="s">
        <v>7</v>
      </c>
      <c r="I59" s="1684"/>
      <c r="J59" s="1683"/>
      <c r="K59" s="1684"/>
      <c r="L59" s="1722"/>
      <c r="M59" s="1723"/>
      <c r="N59" s="299"/>
      <c r="O59" s="857"/>
      <c r="P59" s="857"/>
      <c r="Q59" s="857"/>
      <c r="R59" s="857"/>
      <c r="S59" s="853"/>
      <c r="T59" s="300"/>
      <c r="U59" s="299"/>
      <c r="V59" s="342"/>
      <c r="W59" s="922"/>
      <c r="X59" s="291"/>
      <c r="Y59" s="291"/>
      <c r="Z59" s="291"/>
      <c r="AA59" s="291"/>
      <c r="AB59" s="291"/>
      <c r="AC59" s="291"/>
      <c r="AD59" s="291"/>
      <c r="AE59" s="291"/>
      <c r="AF59" s="1405"/>
      <c r="AG59" s="1405"/>
      <c r="AH59" s="1405"/>
      <c r="AI59" s="1405"/>
      <c r="AJ59" s="1405"/>
      <c r="AK59" s="1405"/>
      <c r="AL59" s="1405"/>
      <c r="AM59" s="1405"/>
      <c r="AN59" s="1405"/>
      <c r="AO59" s="1405"/>
      <c r="AP59" s="1405"/>
      <c r="AQ59" s="1405"/>
      <c r="AR59" s="1405"/>
      <c r="AS59" s="1405"/>
      <c r="AT59" s="1405"/>
      <c r="AU59" s="1405"/>
      <c r="AV59" s="1405"/>
      <c r="AW59" s="1405"/>
      <c r="AX59" s="1405"/>
      <c r="AY59" s="1405"/>
      <c r="AZ59" s="1405"/>
      <c r="BA59" s="1405"/>
      <c r="BB59" s="1405"/>
      <c r="BC59" s="1405"/>
      <c r="BD59" s="1405"/>
      <c r="BE59" s="1405"/>
      <c r="BF59" s="1405"/>
      <c r="BG59" s="1405"/>
      <c r="BH59" s="1405"/>
      <c r="BI59" s="1405"/>
      <c r="BJ59" s="1405"/>
      <c r="BK59" s="1405"/>
      <c r="BL59" s="1405"/>
      <c r="BM59" s="1405"/>
      <c r="BN59" s="1405"/>
      <c r="BO59" s="1405"/>
      <c r="BP59" s="1405"/>
      <c r="BQ59" s="1405"/>
      <c r="BR59" s="1405"/>
      <c r="BS59" s="1405"/>
      <c r="BT59" s="1405"/>
      <c r="BU59" s="1405"/>
      <c r="BV59" s="1405"/>
      <c r="BW59" s="1405"/>
      <c r="BX59" s="1405"/>
      <c r="BY59" s="1405"/>
      <c r="BZ59" s="1405"/>
      <c r="CA59" s="1405"/>
      <c r="CB59" s="1405"/>
      <c r="CC59" s="1405"/>
      <c r="CD59" s="1405"/>
      <c r="CE59" s="1405"/>
      <c r="CF59" s="1405"/>
      <c r="CG59" s="1405"/>
      <c r="CH59" s="1405"/>
      <c r="CI59" s="1405"/>
      <c r="CJ59" s="1405"/>
      <c r="CK59" s="1405"/>
      <c r="CL59" s="1405"/>
      <c r="CM59" s="1405"/>
      <c r="CN59" s="1405"/>
      <c r="CO59" s="1405"/>
    </row>
    <row r="60" spans="1:93" ht="15.75" hidden="1">
      <c r="A60" s="297"/>
      <c r="B60" s="1700"/>
      <c r="C60" s="1700"/>
      <c r="D60" s="1700"/>
      <c r="E60" s="1700"/>
      <c r="F60" s="1700"/>
      <c r="G60" s="1730"/>
      <c r="H60" s="32" t="s">
        <v>1</v>
      </c>
      <c r="I60" s="32" t="s">
        <v>19</v>
      </c>
      <c r="J60" s="32"/>
      <c r="K60" s="509"/>
      <c r="L60" s="890"/>
      <c r="M60" s="890"/>
      <c r="N60" s="342"/>
      <c r="O60" s="611"/>
      <c r="P60" s="853"/>
      <c r="Q60" s="853"/>
      <c r="R60" s="853"/>
      <c r="S60" s="33"/>
      <c r="T60" s="300"/>
      <c r="U60" s="299"/>
      <c r="V60" s="342"/>
      <c r="W60" s="922"/>
      <c r="X60" s="291"/>
      <c r="Y60" s="291"/>
      <c r="Z60" s="291"/>
      <c r="AA60" s="291"/>
      <c r="AB60" s="291"/>
      <c r="AC60" s="291"/>
      <c r="AD60" s="291"/>
      <c r="AE60" s="291"/>
      <c r="AF60" s="1405"/>
      <c r="AG60" s="1405"/>
      <c r="AH60" s="1405"/>
      <c r="AI60" s="1405"/>
      <c r="AJ60" s="1405"/>
      <c r="AK60" s="1405"/>
      <c r="AL60" s="1405"/>
      <c r="AM60" s="1405"/>
      <c r="AN60" s="1405"/>
      <c r="AO60" s="1405"/>
      <c r="AP60" s="1405"/>
      <c r="AQ60" s="1405"/>
      <c r="AR60" s="1405"/>
      <c r="AS60" s="1405"/>
      <c r="AT60" s="1405"/>
      <c r="AU60" s="1405"/>
      <c r="AV60" s="1405"/>
      <c r="AW60" s="1405"/>
      <c r="AX60" s="1405"/>
      <c r="AY60" s="1405"/>
      <c r="AZ60" s="1405"/>
      <c r="BA60" s="1405"/>
      <c r="BB60" s="1405"/>
      <c r="BC60" s="1405"/>
      <c r="BD60" s="1405"/>
      <c r="BE60" s="1405"/>
      <c r="BF60" s="1405"/>
      <c r="BG60" s="1405"/>
      <c r="BH60" s="1405"/>
      <c r="BI60" s="1405"/>
      <c r="BJ60" s="1405"/>
      <c r="BK60" s="1405"/>
      <c r="BL60" s="1405"/>
      <c r="BM60" s="1405"/>
      <c r="BN60" s="1405"/>
      <c r="BO60" s="1405"/>
      <c r="BP60" s="1405"/>
      <c r="BQ60" s="1405"/>
      <c r="BR60" s="1405"/>
      <c r="BS60" s="1405"/>
      <c r="BT60" s="1405"/>
      <c r="BU60" s="1405"/>
      <c r="BV60" s="1405"/>
      <c r="BW60" s="1405"/>
      <c r="BX60" s="1405"/>
      <c r="BY60" s="1405"/>
      <c r="BZ60" s="1405"/>
      <c r="CA60" s="1405"/>
      <c r="CB60" s="1405"/>
      <c r="CC60" s="1405"/>
      <c r="CD60" s="1405"/>
      <c r="CE60" s="1405"/>
      <c r="CF60" s="1405"/>
      <c r="CG60" s="1405"/>
      <c r="CH60" s="1405"/>
      <c r="CI60" s="1405"/>
      <c r="CJ60" s="1405"/>
      <c r="CK60" s="1405"/>
      <c r="CL60" s="1405"/>
      <c r="CM60" s="1405"/>
      <c r="CN60" s="1405"/>
      <c r="CO60" s="1405"/>
    </row>
    <row r="61" spans="1:93" ht="15.75" hidden="1">
      <c r="A61" s="297"/>
      <c r="B61" s="891" t="s">
        <v>22</v>
      </c>
      <c r="C61" s="892" t="s">
        <v>23</v>
      </c>
      <c r="D61" s="893">
        <f>Chem!H$34</f>
        <v>0</v>
      </c>
      <c r="E61" s="893">
        <f>Chem!L$34</f>
        <v>0</v>
      </c>
      <c r="F61" s="893">
        <f>Chem!I$34</f>
        <v>0</v>
      </c>
      <c r="G61" s="894">
        <f>Chem!K34</f>
        <v>0</v>
      </c>
      <c r="H61" s="895">
        <v>4494.166666666667</v>
      </c>
      <c r="I61" s="675">
        <v>53930</v>
      </c>
      <c r="J61" s="896"/>
      <c r="K61" s="897"/>
      <c r="L61" s="898"/>
      <c r="M61" s="898"/>
      <c r="N61" s="342"/>
      <c r="O61" s="753">
        <f>J61-N61-G61</f>
        <v>0</v>
      </c>
      <c r="P61" s="299"/>
      <c r="Q61" s="299"/>
      <c r="R61" s="853"/>
      <c r="S61" s="33"/>
      <c r="T61" s="300"/>
      <c r="U61" s="299"/>
      <c r="V61" s="342"/>
      <c r="W61" s="922"/>
      <c r="X61" s="291"/>
      <c r="Y61" s="291"/>
      <c r="Z61" s="291"/>
      <c r="AA61" s="291"/>
      <c r="AB61" s="291"/>
      <c r="AC61" s="291"/>
      <c r="AD61" s="291"/>
      <c r="AE61" s="291"/>
      <c r="AF61" s="1405"/>
      <c r="AG61" s="1405"/>
      <c r="AH61" s="1405"/>
      <c r="AI61" s="1405"/>
      <c r="AJ61" s="1405"/>
      <c r="AK61" s="1405"/>
      <c r="AL61" s="1405"/>
      <c r="AM61" s="1405"/>
      <c r="AN61" s="1405"/>
      <c r="AO61" s="1405"/>
      <c r="AP61" s="1405"/>
      <c r="AQ61" s="1405"/>
      <c r="AR61" s="1405"/>
      <c r="AS61" s="1405"/>
      <c r="AT61" s="1405"/>
      <c r="AU61" s="1405"/>
      <c r="AV61" s="1405"/>
      <c r="AW61" s="1405"/>
      <c r="AX61" s="1405"/>
      <c r="AY61" s="1405"/>
      <c r="AZ61" s="1405"/>
      <c r="BA61" s="1405"/>
      <c r="BB61" s="1405"/>
      <c r="BC61" s="1405"/>
      <c r="BD61" s="1405"/>
      <c r="BE61" s="1405"/>
      <c r="BF61" s="1405"/>
      <c r="BG61" s="1405"/>
      <c r="BH61" s="1405"/>
      <c r="BI61" s="1405"/>
      <c r="BJ61" s="1405"/>
      <c r="BK61" s="1405"/>
      <c r="BL61" s="1405"/>
      <c r="BM61" s="1405"/>
      <c r="BN61" s="1405"/>
      <c r="BO61" s="1405"/>
      <c r="BP61" s="1405"/>
      <c r="BQ61" s="1405"/>
      <c r="BR61" s="1405"/>
      <c r="BS61" s="1405"/>
      <c r="BT61" s="1405"/>
      <c r="BU61" s="1405"/>
      <c r="BV61" s="1405"/>
      <c r="BW61" s="1405"/>
      <c r="BX61" s="1405"/>
      <c r="BY61" s="1405"/>
      <c r="BZ61" s="1405"/>
      <c r="CA61" s="1405"/>
      <c r="CB61" s="1405"/>
      <c r="CC61" s="1405"/>
      <c r="CD61" s="1405"/>
      <c r="CE61" s="1405"/>
      <c r="CF61" s="1405"/>
      <c r="CG61" s="1405"/>
      <c r="CH61" s="1405"/>
      <c r="CI61" s="1405"/>
      <c r="CJ61" s="1405"/>
      <c r="CK61" s="1405"/>
      <c r="CL61" s="1405"/>
      <c r="CM61" s="1405"/>
      <c r="CN61" s="1405"/>
      <c r="CO61" s="1405"/>
    </row>
    <row r="62" spans="1:93" ht="15.75" hidden="1">
      <c r="A62" s="297"/>
      <c r="B62" s="891" t="s">
        <v>24</v>
      </c>
      <c r="C62" s="892" t="s">
        <v>23</v>
      </c>
      <c r="D62" s="893">
        <f>Chem!B$34</f>
        <v>0</v>
      </c>
      <c r="E62" s="893">
        <f>Chem!F$34</f>
        <v>0</v>
      </c>
      <c r="F62" s="893">
        <f>Chem!C$34</f>
        <v>0</v>
      </c>
      <c r="G62" s="770">
        <f>Chem!E34</f>
        <v>0</v>
      </c>
      <c r="H62" s="895">
        <v>925</v>
      </c>
      <c r="I62" s="675">
        <v>11100</v>
      </c>
      <c r="J62" s="896"/>
      <c r="K62" s="897"/>
      <c r="L62" s="898"/>
      <c r="M62" s="898"/>
      <c r="N62" s="342"/>
      <c r="O62" s="753">
        <f t="shared" ref="O62:O69" si="11">J62-N62-G62</f>
        <v>0</v>
      </c>
      <c r="P62" s="299"/>
      <c r="Q62" s="299"/>
      <c r="R62" s="853"/>
      <c r="S62" s="33"/>
      <c r="T62" s="300"/>
      <c r="U62" s="299"/>
      <c r="V62" s="342"/>
      <c r="W62" s="922"/>
      <c r="X62" s="291"/>
      <c r="Y62" s="291"/>
      <c r="Z62" s="291"/>
      <c r="AA62" s="291"/>
      <c r="AB62" s="291"/>
      <c r="AC62" s="291"/>
      <c r="AD62" s="291"/>
      <c r="AE62" s="291"/>
      <c r="AF62" s="1405"/>
      <c r="AG62" s="1405"/>
      <c r="AH62" s="1405"/>
      <c r="AI62" s="1405"/>
      <c r="AJ62" s="1405"/>
      <c r="AK62" s="1405"/>
      <c r="AL62" s="1405"/>
      <c r="AM62" s="1405"/>
      <c r="AN62" s="1405"/>
      <c r="AO62" s="1405"/>
      <c r="AP62" s="1405"/>
      <c r="AQ62" s="1405"/>
      <c r="AR62" s="1405"/>
      <c r="AS62" s="1405"/>
      <c r="AT62" s="1405"/>
      <c r="AU62" s="1405"/>
      <c r="AV62" s="1405"/>
      <c r="AW62" s="1405"/>
      <c r="AX62" s="1405"/>
      <c r="AY62" s="1405"/>
      <c r="AZ62" s="1405"/>
      <c r="BA62" s="1405"/>
      <c r="BB62" s="1405"/>
      <c r="BC62" s="1405"/>
      <c r="BD62" s="1405"/>
      <c r="BE62" s="1405"/>
      <c r="BF62" s="1405"/>
      <c r="BG62" s="1405"/>
      <c r="BH62" s="1405"/>
      <c r="BI62" s="1405"/>
      <c r="BJ62" s="1405"/>
      <c r="BK62" s="1405"/>
      <c r="BL62" s="1405"/>
      <c r="BM62" s="1405"/>
      <c r="BN62" s="1405"/>
      <c r="BO62" s="1405"/>
      <c r="BP62" s="1405"/>
      <c r="BQ62" s="1405"/>
      <c r="BR62" s="1405"/>
      <c r="BS62" s="1405"/>
      <c r="BT62" s="1405"/>
      <c r="BU62" s="1405"/>
      <c r="BV62" s="1405"/>
      <c r="BW62" s="1405"/>
      <c r="BX62" s="1405"/>
      <c r="BY62" s="1405"/>
      <c r="BZ62" s="1405"/>
      <c r="CA62" s="1405"/>
      <c r="CB62" s="1405"/>
      <c r="CC62" s="1405"/>
      <c r="CD62" s="1405"/>
      <c r="CE62" s="1405"/>
      <c r="CF62" s="1405"/>
      <c r="CG62" s="1405"/>
      <c r="CH62" s="1405"/>
      <c r="CI62" s="1405"/>
      <c r="CJ62" s="1405"/>
      <c r="CK62" s="1405"/>
      <c r="CL62" s="1405"/>
      <c r="CM62" s="1405"/>
      <c r="CN62" s="1405"/>
      <c r="CO62" s="1405"/>
    </row>
    <row r="63" spans="1:93" ht="15.75" hidden="1">
      <c r="A63" s="297"/>
      <c r="B63" s="891" t="s">
        <v>25</v>
      </c>
      <c r="C63" s="892" t="s">
        <v>23</v>
      </c>
      <c r="D63" s="893">
        <f>Chem!N$34</f>
        <v>0</v>
      </c>
      <c r="E63" s="893">
        <f>Chem!R$34</f>
        <v>0</v>
      </c>
      <c r="F63" s="893">
        <f>Chem!O$34</f>
        <v>0</v>
      </c>
      <c r="G63" s="771">
        <f>Chem!Q34</f>
        <v>0</v>
      </c>
      <c r="H63" s="895">
        <v>1900</v>
      </c>
      <c r="I63" s="675">
        <v>22800</v>
      </c>
      <c r="J63" s="896"/>
      <c r="K63" s="899"/>
      <c r="L63" s="898"/>
      <c r="M63" s="898"/>
      <c r="N63" s="342"/>
      <c r="O63" s="753">
        <f t="shared" si="11"/>
        <v>0</v>
      </c>
      <c r="P63" s="299"/>
      <c r="Q63" s="299"/>
      <c r="R63" s="853"/>
      <c r="S63" s="33"/>
      <c r="T63" s="300"/>
      <c r="U63" s="299"/>
      <c r="V63" s="342"/>
      <c r="W63" s="922"/>
      <c r="X63" s="291"/>
      <c r="Y63" s="291"/>
      <c r="Z63" s="291"/>
      <c r="AA63" s="291"/>
      <c r="AB63" s="291"/>
      <c r="AC63" s="291"/>
      <c r="AD63" s="291"/>
      <c r="AE63" s="291"/>
      <c r="AF63" s="1405"/>
      <c r="AG63" s="1405"/>
      <c r="AH63" s="1405"/>
      <c r="AI63" s="1405"/>
      <c r="AJ63" s="1405"/>
      <c r="AK63" s="1405"/>
      <c r="AL63" s="1405"/>
      <c r="AM63" s="1405"/>
      <c r="AN63" s="1405"/>
      <c r="AO63" s="1405"/>
      <c r="AP63" s="1405"/>
      <c r="AQ63" s="1405"/>
      <c r="AR63" s="1405"/>
      <c r="AS63" s="1405"/>
      <c r="AT63" s="1405"/>
      <c r="AU63" s="1405"/>
      <c r="AV63" s="1405"/>
      <c r="AW63" s="1405"/>
      <c r="AX63" s="1405"/>
      <c r="AY63" s="1405"/>
      <c r="AZ63" s="1405"/>
      <c r="BA63" s="1405"/>
      <c r="BB63" s="1405"/>
      <c r="BC63" s="1405"/>
      <c r="BD63" s="1405"/>
      <c r="BE63" s="1405"/>
      <c r="BF63" s="1405"/>
      <c r="BG63" s="1405"/>
      <c r="BH63" s="1405"/>
      <c r="BI63" s="1405"/>
      <c r="BJ63" s="1405"/>
      <c r="BK63" s="1405"/>
      <c r="BL63" s="1405"/>
      <c r="BM63" s="1405"/>
      <c r="BN63" s="1405"/>
      <c r="BO63" s="1405"/>
      <c r="BP63" s="1405"/>
      <c r="BQ63" s="1405"/>
      <c r="BR63" s="1405"/>
      <c r="BS63" s="1405"/>
      <c r="BT63" s="1405"/>
      <c r="BU63" s="1405"/>
      <c r="BV63" s="1405"/>
      <c r="BW63" s="1405"/>
      <c r="BX63" s="1405"/>
      <c r="BY63" s="1405"/>
      <c r="BZ63" s="1405"/>
      <c r="CA63" s="1405"/>
      <c r="CB63" s="1405"/>
      <c r="CC63" s="1405"/>
      <c r="CD63" s="1405"/>
      <c r="CE63" s="1405"/>
      <c r="CF63" s="1405"/>
      <c r="CG63" s="1405"/>
      <c r="CH63" s="1405"/>
      <c r="CI63" s="1405"/>
      <c r="CJ63" s="1405"/>
      <c r="CK63" s="1405"/>
      <c r="CL63" s="1405"/>
      <c r="CM63" s="1405"/>
      <c r="CN63" s="1405"/>
      <c r="CO63" s="1405"/>
    </row>
    <row r="64" spans="1:93" ht="15.75" hidden="1">
      <c r="A64" s="297"/>
      <c r="B64" s="891" t="s">
        <v>27</v>
      </c>
      <c r="C64" s="892" t="s">
        <v>23</v>
      </c>
      <c r="D64" s="893">
        <f>Chem!T$34</f>
        <v>0</v>
      </c>
      <c r="E64" s="893">
        <f>Chem!X$34</f>
        <v>0</v>
      </c>
      <c r="F64" s="893">
        <f>Chem!U$34</f>
        <v>0</v>
      </c>
      <c r="G64" s="771">
        <f>Chem!W34</f>
        <v>0</v>
      </c>
      <c r="H64" s="895">
        <v>158</v>
      </c>
      <c r="I64" s="675">
        <v>1896</v>
      </c>
      <c r="J64" s="896"/>
      <c r="K64" s="899"/>
      <c r="L64" s="898"/>
      <c r="M64" s="898"/>
      <c r="N64" s="342"/>
      <c r="O64" s="753">
        <f t="shared" si="11"/>
        <v>0</v>
      </c>
      <c r="P64" s="299"/>
      <c r="Q64" s="299"/>
      <c r="R64" s="853"/>
      <c r="S64" s="33"/>
      <c r="T64" s="300"/>
      <c r="U64" s="299"/>
      <c r="V64" s="342"/>
      <c r="W64" s="922"/>
      <c r="X64" s="291"/>
      <c r="Y64" s="291"/>
      <c r="Z64" s="291"/>
      <c r="AA64" s="291"/>
      <c r="AB64" s="291"/>
      <c r="AC64" s="291"/>
      <c r="AD64" s="291"/>
      <c r="AE64" s="291"/>
      <c r="AF64" s="1405"/>
      <c r="AG64" s="1405"/>
      <c r="AH64" s="1405"/>
      <c r="AI64" s="1405"/>
      <c r="AJ64" s="1405"/>
      <c r="AK64" s="1405"/>
      <c r="AL64" s="1405"/>
      <c r="AM64" s="1405"/>
      <c r="AN64" s="1405"/>
      <c r="AO64" s="1405"/>
      <c r="AP64" s="1405"/>
      <c r="AQ64" s="1405"/>
      <c r="AR64" s="1405"/>
      <c r="AS64" s="1405"/>
      <c r="AT64" s="1405"/>
      <c r="AU64" s="1405"/>
      <c r="AV64" s="1405"/>
      <c r="AW64" s="1405"/>
      <c r="AX64" s="1405"/>
      <c r="AY64" s="1405"/>
      <c r="AZ64" s="1405"/>
      <c r="BA64" s="1405"/>
      <c r="BB64" s="1405"/>
      <c r="BC64" s="1405"/>
      <c r="BD64" s="1405"/>
      <c r="BE64" s="1405"/>
      <c r="BF64" s="1405"/>
      <c r="BG64" s="1405"/>
      <c r="BH64" s="1405"/>
      <c r="BI64" s="1405"/>
      <c r="BJ64" s="1405"/>
      <c r="BK64" s="1405"/>
      <c r="BL64" s="1405"/>
      <c r="BM64" s="1405"/>
      <c r="BN64" s="1405"/>
      <c r="BO64" s="1405"/>
      <c r="BP64" s="1405"/>
      <c r="BQ64" s="1405"/>
      <c r="BR64" s="1405"/>
      <c r="BS64" s="1405"/>
      <c r="BT64" s="1405"/>
      <c r="BU64" s="1405"/>
      <c r="BV64" s="1405"/>
      <c r="BW64" s="1405"/>
      <c r="BX64" s="1405"/>
      <c r="BY64" s="1405"/>
      <c r="BZ64" s="1405"/>
      <c r="CA64" s="1405"/>
      <c r="CB64" s="1405"/>
      <c r="CC64" s="1405"/>
      <c r="CD64" s="1405"/>
      <c r="CE64" s="1405"/>
      <c r="CF64" s="1405"/>
      <c r="CG64" s="1405"/>
      <c r="CH64" s="1405"/>
      <c r="CI64" s="1405"/>
      <c r="CJ64" s="1405"/>
      <c r="CK64" s="1405"/>
      <c r="CL64" s="1405"/>
      <c r="CM64" s="1405"/>
      <c r="CN64" s="1405"/>
      <c r="CO64" s="1405"/>
    </row>
    <row r="65" spans="1:93" ht="15.75" hidden="1">
      <c r="A65" s="297"/>
      <c r="B65" s="891" t="s">
        <v>26</v>
      </c>
      <c r="C65" s="892" t="s">
        <v>23</v>
      </c>
      <c r="D65" s="893">
        <f>Chem!Z$34</f>
        <v>0</v>
      </c>
      <c r="E65" s="893">
        <f>Chem!AD$34</f>
        <v>0</v>
      </c>
      <c r="F65" s="893">
        <f>Chem!AA$34</f>
        <v>0</v>
      </c>
      <c r="G65" s="900">
        <f>Chem!AC34</f>
        <v>0</v>
      </c>
      <c r="H65" s="895">
        <v>1500</v>
      </c>
      <c r="I65" s="675">
        <v>18000</v>
      </c>
      <c r="J65" s="896"/>
      <c r="K65" s="899"/>
      <c r="L65" s="898"/>
      <c r="M65" s="898"/>
      <c r="N65" s="342"/>
      <c r="O65" s="753">
        <f t="shared" si="11"/>
        <v>0</v>
      </c>
      <c r="P65" s="299"/>
      <c r="Q65" s="299"/>
      <c r="R65" s="853"/>
      <c r="S65" s="33"/>
      <c r="T65" s="300"/>
      <c r="U65" s="299"/>
      <c r="V65" s="342"/>
      <c r="W65" s="922"/>
      <c r="X65" s="291"/>
      <c r="Y65" s="291"/>
      <c r="Z65" s="291"/>
      <c r="AA65" s="291"/>
      <c r="AB65" s="291"/>
      <c r="AC65" s="291"/>
      <c r="AD65" s="291"/>
      <c r="AE65" s="291"/>
      <c r="AF65" s="1405"/>
      <c r="AG65" s="1405"/>
      <c r="AH65" s="1405"/>
      <c r="AI65" s="1405"/>
      <c r="AJ65" s="1405"/>
      <c r="AK65" s="1405"/>
      <c r="AL65" s="1405"/>
      <c r="AM65" s="1405"/>
      <c r="AN65" s="1405"/>
      <c r="AO65" s="1405"/>
      <c r="AP65" s="1405"/>
      <c r="AQ65" s="1405"/>
      <c r="AR65" s="1405"/>
      <c r="AS65" s="1405"/>
      <c r="AT65" s="1405"/>
      <c r="AU65" s="1405"/>
      <c r="AV65" s="1405"/>
      <c r="AW65" s="1405"/>
      <c r="AX65" s="1405"/>
      <c r="AY65" s="1405"/>
      <c r="AZ65" s="1405"/>
      <c r="BA65" s="1405"/>
      <c r="BB65" s="1405"/>
      <c r="BC65" s="1405"/>
      <c r="BD65" s="1405"/>
      <c r="BE65" s="1405"/>
      <c r="BF65" s="1405"/>
      <c r="BG65" s="1405"/>
      <c r="BH65" s="1405"/>
      <c r="BI65" s="1405"/>
      <c r="BJ65" s="1405"/>
      <c r="BK65" s="1405"/>
      <c r="BL65" s="1405"/>
      <c r="BM65" s="1405"/>
      <c r="BN65" s="1405"/>
      <c r="BO65" s="1405"/>
      <c r="BP65" s="1405"/>
      <c r="BQ65" s="1405"/>
      <c r="BR65" s="1405"/>
      <c r="BS65" s="1405"/>
      <c r="BT65" s="1405"/>
      <c r="BU65" s="1405"/>
      <c r="BV65" s="1405"/>
      <c r="BW65" s="1405"/>
      <c r="BX65" s="1405"/>
      <c r="BY65" s="1405"/>
      <c r="BZ65" s="1405"/>
      <c r="CA65" s="1405"/>
      <c r="CB65" s="1405"/>
      <c r="CC65" s="1405"/>
      <c r="CD65" s="1405"/>
      <c r="CE65" s="1405"/>
      <c r="CF65" s="1405"/>
      <c r="CG65" s="1405"/>
      <c r="CH65" s="1405"/>
      <c r="CI65" s="1405"/>
      <c r="CJ65" s="1405"/>
      <c r="CK65" s="1405"/>
      <c r="CL65" s="1405"/>
      <c r="CM65" s="1405"/>
      <c r="CN65" s="1405"/>
      <c r="CO65" s="1405"/>
    </row>
    <row r="66" spans="1:93" ht="15.75" hidden="1">
      <c r="A66" s="297"/>
      <c r="B66" s="891" t="s">
        <v>28</v>
      </c>
      <c r="C66" s="892" t="s">
        <v>23</v>
      </c>
      <c r="D66" s="893">
        <f>Chem!AF$34</f>
        <v>0</v>
      </c>
      <c r="E66" s="893">
        <f>Chem!AJ$34</f>
        <v>0</v>
      </c>
      <c r="F66" s="893">
        <f>Chem!AG$34</f>
        <v>0</v>
      </c>
      <c r="G66" s="771">
        <f>+Chem!AI34</f>
        <v>0</v>
      </c>
      <c r="H66" s="895">
        <v>1200</v>
      </c>
      <c r="I66" s="675">
        <v>14400</v>
      </c>
      <c r="J66" s="896"/>
      <c r="K66" s="899"/>
      <c r="L66" s="898"/>
      <c r="M66" s="898"/>
      <c r="N66" s="342"/>
      <c r="O66" s="753">
        <f t="shared" si="11"/>
        <v>0</v>
      </c>
      <c r="P66" s="299"/>
      <c r="Q66" s="299"/>
      <c r="R66" s="853"/>
      <c r="S66" s="33"/>
      <c r="T66" s="300"/>
      <c r="U66" s="299"/>
      <c r="V66" s="342"/>
      <c r="W66" s="922"/>
      <c r="X66" s="291"/>
      <c r="Y66" s="291"/>
      <c r="Z66" s="291"/>
      <c r="AA66" s="291"/>
      <c r="AB66" s="291"/>
      <c r="AC66" s="291"/>
      <c r="AD66" s="291"/>
      <c r="AE66" s="291"/>
      <c r="AF66" s="1405"/>
      <c r="AG66" s="1405"/>
      <c r="AH66" s="1405"/>
      <c r="AI66" s="1405"/>
      <c r="AJ66" s="1405"/>
      <c r="AK66" s="1405"/>
      <c r="AL66" s="1405"/>
      <c r="AM66" s="1405"/>
      <c r="AN66" s="1405"/>
      <c r="AO66" s="1405"/>
      <c r="AP66" s="1405"/>
      <c r="AQ66" s="1405"/>
      <c r="AR66" s="1405"/>
      <c r="AS66" s="1405"/>
      <c r="AT66" s="1405"/>
      <c r="AU66" s="1405"/>
      <c r="AV66" s="1405"/>
      <c r="AW66" s="1405"/>
      <c r="AX66" s="1405"/>
      <c r="AY66" s="1405"/>
      <c r="AZ66" s="1405"/>
      <c r="BA66" s="1405"/>
      <c r="BB66" s="1405"/>
      <c r="BC66" s="1405"/>
      <c r="BD66" s="1405"/>
      <c r="BE66" s="1405"/>
      <c r="BF66" s="1405"/>
      <c r="BG66" s="1405"/>
      <c r="BH66" s="1405"/>
      <c r="BI66" s="1405"/>
      <c r="BJ66" s="1405"/>
      <c r="BK66" s="1405"/>
      <c r="BL66" s="1405"/>
      <c r="BM66" s="1405"/>
      <c r="BN66" s="1405"/>
      <c r="BO66" s="1405"/>
      <c r="BP66" s="1405"/>
      <c r="BQ66" s="1405"/>
      <c r="BR66" s="1405"/>
      <c r="BS66" s="1405"/>
      <c r="BT66" s="1405"/>
      <c r="BU66" s="1405"/>
      <c r="BV66" s="1405"/>
      <c r="BW66" s="1405"/>
      <c r="BX66" s="1405"/>
      <c r="BY66" s="1405"/>
      <c r="BZ66" s="1405"/>
      <c r="CA66" s="1405"/>
      <c r="CB66" s="1405"/>
      <c r="CC66" s="1405"/>
      <c r="CD66" s="1405"/>
      <c r="CE66" s="1405"/>
      <c r="CF66" s="1405"/>
      <c r="CG66" s="1405"/>
      <c r="CH66" s="1405"/>
      <c r="CI66" s="1405"/>
      <c r="CJ66" s="1405"/>
      <c r="CK66" s="1405"/>
      <c r="CL66" s="1405"/>
      <c r="CM66" s="1405"/>
      <c r="CN66" s="1405"/>
      <c r="CO66" s="1405"/>
    </row>
    <row r="67" spans="1:93" ht="15.75" hidden="1">
      <c r="A67" s="297"/>
      <c r="B67" s="901" t="s">
        <v>29</v>
      </c>
      <c r="C67" s="892" t="s">
        <v>23</v>
      </c>
      <c r="D67" s="893">
        <f>Chem!AL$34</f>
        <v>0</v>
      </c>
      <c r="E67" s="893">
        <f>Chem!AP$34</f>
        <v>0</v>
      </c>
      <c r="F67" s="893">
        <f>Chem!AM$34</f>
        <v>0</v>
      </c>
      <c r="G67" s="771">
        <f>Chem!AO34</f>
        <v>0</v>
      </c>
      <c r="H67" s="895">
        <v>12.5</v>
      </c>
      <c r="I67" s="675">
        <v>150</v>
      </c>
      <c r="J67" s="896"/>
      <c r="K67" s="899"/>
      <c r="L67" s="898"/>
      <c r="M67" s="898"/>
      <c r="N67" s="795"/>
      <c r="O67" s="753">
        <f>E67-N67</f>
        <v>0</v>
      </c>
      <c r="P67" s="299"/>
      <c r="Q67" s="299"/>
      <c r="R67" s="853"/>
      <c r="S67" s="33"/>
      <c r="T67" s="300"/>
      <c r="U67" s="299"/>
      <c r="V67" s="342"/>
      <c r="W67" s="922"/>
      <c r="X67" s="291"/>
      <c r="Y67" s="291"/>
      <c r="Z67" s="291"/>
      <c r="AA67" s="291"/>
      <c r="AB67" s="291"/>
      <c r="AC67" s="291"/>
      <c r="AD67" s="291"/>
      <c r="AE67" s="291"/>
      <c r="AF67" s="1405"/>
      <c r="AG67" s="1405"/>
      <c r="AH67" s="1405"/>
      <c r="AI67" s="1405"/>
      <c r="AJ67" s="1405"/>
      <c r="AK67" s="1405"/>
      <c r="AL67" s="1405"/>
      <c r="AM67" s="1405"/>
      <c r="AN67" s="1405"/>
      <c r="AO67" s="1405"/>
      <c r="AP67" s="1405"/>
      <c r="AQ67" s="1405"/>
      <c r="AR67" s="1405"/>
      <c r="AS67" s="1405"/>
      <c r="AT67" s="1405"/>
      <c r="AU67" s="1405"/>
      <c r="AV67" s="1405"/>
      <c r="AW67" s="1405"/>
      <c r="AX67" s="1405"/>
      <c r="AY67" s="1405"/>
      <c r="AZ67" s="1405"/>
      <c r="BA67" s="1405"/>
      <c r="BB67" s="1405"/>
      <c r="BC67" s="1405"/>
      <c r="BD67" s="1405"/>
      <c r="BE67" s="1405"/>
      <c r="BF67" s="1405"/>
      <c r="BG67" s="1405"/>
      <c r="BH67" s="1405"/>
      <c r="BI67" s="1405"/>
      <c r="BJ67" s="1405"/>
      <c r="BK67" s="1405"/>
      <c r="BL67" s="1405"/>
      <c r="BM67" s="1405"/>
      <c r="BN67" s="1405"/>
      <c r="BO67" s="1405"/>
      <c r="BP67" s="1405"/>
      <c r="BQ67" s="1405"/>
      <c r="BR67" s="1405"/>
      <c r="BS67" s="1405"/>
      <c r="BT67" s="1405"/>
      <c r="BU67" s="1405"/>
      <c r="BV67" s="1405"/>
      <c r="BW67" s="1405"/>
      <c r="BX67" s="1405"/>
      <c r="BY67" s="1405"/>
      <c r="BZ67" s="1405"/>
      <c r="CA67" s="1405"/>
      <c r="CB67" s="1405"/>
      <c r="CC67" s="1405"/>
      <c r="CD67" s="1405"/>
      <c r="CE67" s="1405"/>
      <c r="CF67" s="1405"/>
      <c r="CG67" s="1405"/>
      <c r="CH67" s="1405"/>
      <c r="CI67" s="1405"/>
      <c r="CJ67" s="1405"/>
      <c r="CK67" s="1405"/>
      <c r="CL67" s="1405"/>
      <c r="CM67" s="1405"/>
      <c r="CN67" s="1405"/>
      <c r="CO67" s="1405"/>
    </row>
    <row r="68" spans="1:93" ht="15.75" hidden="1">
      <c r="A68" s="297"/>
      <c r="B68" s="901" t="s">
        <v>424</v>
      </c>
      <c r="C68" s="892" t="s">
        <v>23</v>
      </c>
      <c r="D68" s="893">
        <f>Chem!AR$34</f>
        <v>9200</v>
      </c>
      <c r="E68" s="893">
        <f>Chem!AV$34</f>
        <v>9200</v>
      </c>
      <c r="F68" s="893">
        <f>Chem!AS$34</f>
        <v>0</v>
      </c>
      <c r="G68" s="771"/>
      <c r="H68" s="895">
        <f>IF(MONTH('Raw Material'!A6)=OR(1,4,7,10),50,0)</f>
        <v>0</v>
      </c>
      <c r="I68" s="675" t="s">
        <v>17</v>
      </c>
      <c r="J68" s="896"/>
      <c r="K68" s="899"/>
      <c r="L68" s="898"/>
      <c r="M68" s="898"/>
      <c r="N68" s="795"/>
      <c r="O68" s="753">
        <f>E68-N68</f>
        <v>9200</v>
      </c>
      <c r="P68" s="342"/>
      <c r="Q68" s="611"/>
      <c r="R68" s="853"/>
      <c r="S68" s="33"/>
      <c r="T68" s="300"/>
      <c r="U68" s="299"/>
      <c r="V68" s="342"/>
      <c r="W68" s="922"/>
      <c r="X68" s="291"/>
      <c r="Y68" s="291"/>
      <c r="Z68" s="291"/>
      <c r="AA68" s="291"/>
      <c r="AB68" s="291"/>
      <c r="AC68" s="291"/>
      <c r="AD68" s="291"/>
      <c r="AE68" s="291"/>
      <c r="AF68" s="1405"/>
      <c r="AG68" s="1405"/>
      <c r="AH68" s="1405"/>
      <c r="AI68" s="1405"/>
      <c r="AJ68" s="1405"/>
      <c r="AK68" s="1405"/>
      <c r="AL68" s="1405"/>
      <c r="AM68" s="1405"/>
      <c r="AN68" s="1405"/>
      <c r="AO68" s="1405"/>
      <c r="AP68" s="1405"/>
      <c r="AQ68" s="1405"/>
      <c r="AR68" s="1405"/>
      <c r="AS68" s="1405"/>
      <c r="AT68" s="1405"/>
      <c r="AU68" s="1405"/>
      <c r="AV68" s="1405"/>
      <c r="AW68" s="1405"/>
      <c r="AX68" s="1405"/>
      <c r="AY68" s="1405"/>
      <c r="AZ68" s="1405"/>
      <c r="BA68" s="1405"/>
      <c r="BB68" s="1405"/>
      <c r="BC68" s="1405"/>
      <c r="BD68" s="1405"/>
      <c r="BE68" s="1405"/>
      <c r="BF68" s="1405"/>
      <c r="BG68" s="1405"/>
      <c r="BH68" s="1405"/>
      <c r="BI68" s="1405"/>
      <c r="BJ68" s="1405"/>
      <c r="BK68" s="1405"/>
      <c r="BL68" s="1405"/>
      <c r="BM68" s="1405"/>
      <c r="BN68" s="1405"/>
      <c r="BO68" s="1405"/>
      <c r="BP68" s="1405"/>
      <c r="BQ68" s="1405"/>
      <c r="BR68" s="1405"/>
      <c r="BS68" s="1405"/>
      <c r="BT68" s="1405"/>
      <c r="BU68" s="1405"/>
      <c r="BV68" s="1405"/>
      <c r="BW68" s="1405"/>
      <c r="BX68" s="1405"/>
      <c r="BY68" s="1405"/>
      <c r="BZ68" s="1405"/>
      <c r="CA68" s="1405"/>
      <c r="CB68" s="1405"/>
      <c r="CC68" s="1405"/>
      <c r="CD68" s="1405"/>
      <c r="CE68" s="1405"/>
      <c r="CF68" s="1405"/>
      <c r="CG68" s="1405"/>
      <c r="CH68" s="1405"/>
      <c r="CI68" s="1405"/>
      <c r="CJ68" s="1405"/>
      <c r="CK68" s="1405"/>
      <c r="CL68" s="1405"/>
      <c r="CM68" s="1405"/>
      <c r="CN68" s="1405"/>
      <c r="CO68" s="1405"/>
    </row>
    <row r="69" spans="1:93" ht="15.75" hidden="1">
      <c r="A69" s="297"/>
      <c r="B69" s="902" t="s">
        <v>30</v>
      </c>
      <c r="C69" s="892" t="s">
        <v>23</v>
      </c>
      <c r="D69" s="903">
        <v>0</v>
      </c>
      <c r="E69" s="903">
        <v>0</v>
      </c>
      <c r="F69" s="893">
        <f>Chem!AY$34</f>
        <v>0</v>
      </c>
      <c r="G69" s="771"/>
      <c r="H69" s="895">
        <v>750</v>
      </c>
      <c r="I69" s="675">
        <f>750*12</f>
        <v>9000</v>
      </c>
      <c r="J69" s="904"/>
      <c r="K69" s="899"/>
      <c r="L69" s="898"/>
      <c r="M69" s="898"/>
      <c r="N69" s="342"/>
      <c r="O69" s="753">
        <f t="shared" si="11"/>
        <v>0</v>
      </c>
      <c r="P69" s="303"/>
      <c r="Q69" s="303"/>
      <c r="R69" s="853"/>
      <c r="S69" s="33"/>
      <c r="T69" s="300"/>
      <c r="U69" s="299"/>
      <c r="V69" s="342"/>
      <c r="W69" s="922"/>
      <c r="X69" s="291"/>
      <c r="Y69" s="291"/>
      <c r="Z69" s="291"/>
      <c r="AA69" s="291"/>
      <c r="AB69" s="291"/>
      <c r="AC69" s="291"/>
      <c r="AD69" s="291"/>
      <c r="AE69" s="291"/>
      <c r="AF69" s="1405"/>
      <c r="AG69" s="1405"/>
      <c r="AH69" s="1405"/>
      <c r="AI69" s="1405"/>
      <c r="AJ69" s="1405"/>
      <c r="AK69" s="1405"/>
      <c r="AL69" s="1405"/>
      <c r="AM69" s="1405"/>
      <c r="AN69" s="1405"/>
      <c r="AO69" s="1405"/>
      <c r="AP69" s="1405"/>
      <c r="AQ69" s="1405"/>
      <c r="AR69" s="1405"/>
      <c r="AS69" s="1405"/>
      <c r="AT69" s="1405"/>
      <c r="AU69" s="1405"/>
      <c r="AV69" s="1405"/>
      <c r="AW69" s="1405"/>
      <c r="AX69" s="1405"/>
      <c r="AY69" s="1405"/>
      <c r="AZ69" s="1405"/>
      <c r="BA69" s="1405"/>
      <c r="BB69" s="1405"/>
      <c r="BC69" s="1405"/>
      <c r="BD69" s="1405"/>
      <c r="BE69" s="1405"/>
      <c r="BF69" s="1405"/>
      <c r="BG69" s="1405"/>
      <c r="BH69" s="1405"/>
      <c r="BI69" s="1405"/>
      <c r="BJ69" s="1405"/>
      <c r="BK69" s="1405"/>
      <c r="BL69" s="1405"/>
      <c r="BM69" s="1405"/>
      <c r="BN69" s="1405"/>
      <c r="BO69" s="1405"/>
      <c r="BP69" s="1405"/>
      <c r="BQ69" s="1405"/>
      <c r="BR69" s="1405"/>
      <c r="BS69" s="1405"/>
      <c r="BT69" s="1405"/>
      <c r="BU69" s="1405"/>
      <c r="BV69" s="1405"/>
      <c r="BW69" s="1405"/>
      <c r="BX69" s="1405"/>
      <c r="BY69" s="1405"/>
      <c r="BZ69" s="1405"/>
      <c r="CA69" s="1405"/>
      <c r="CB69" s="1405"/>
      <c r="CC69" s="1405"/>
      <c r="CD69" s="1405"/>
      <c r="CE69" s="1405"/>
      <c r="CF69" s="1405"/>
      <c r="CG69" s="1405"/>
      <c r="CH69" s="1405"/>
      <c r="CI69" s="1405"/>
      <c r="CJ69" s="1405"/>
      <c r="CK69" s="1405"/>
      <c r="CL69" s="1405"/>
      <c r="CM69" s="1405"/>
      <c r="CN69" s="1405"/>
      <c r="CO69" s="1405"/>
    </row>
    <row r="70" spans="1:93" ht="15.75" hidden="1">
      <c r="A70" s="297"/>
      <c r="B70" s="905" t="s">
        <v>31</v>
      </c>
      <c r="C70" s="892" t="s">
        <v>23</v>
      </c>
      <c r="D70" s="903">
        <v>0</v>
      </c>
      <c r="E70" s="903">
        <v>0</v>
      </c>
      <c r="F70" s="893">
        <f>Chem!AS$34</f>
        <v>0</v>
      </c>
      <c r="G70" s="771"/>
      <c r="H70" s="895">
        <v>2000</v>
      </c>
      <c r="I70" s="675">
        <v>24000</v>
      </c>
      <c r="J70" s="896"/>
      <c r="K70" s="899"/>
      <c r="L70" s="898"/>
      <c r="M70" s="898"/>
      <c r="N70" s="342"/>
      <c r="O70" s="753"/>
      <c r="P70" s="37"/>
      <c r="Q70" s="37"/>
      <c r="R70" s="853"/>
      <c r="S70" s="33"/>
      <c r="T70" s="300"/>
      <c r="U70" s="304"/>
      <c r="V70" s="342"/>
      <c r="W70" s="922"/>
      <c r="X70" s="291"/>
      <c r="Y70" s="291"/>
      <c r="Z70" s="291"/>
      <c r="AA70" s="291"/>
      <c r="AB70" s="291"/>
      <c r="AC70" s="291"/>
      <c r="AD70" s="291"/>
      <c r="AE70" s="291"/>
      <c r="AF70" s="1405"/>
      <c r="AG70" s="1405"/>
      <c r="AH70" s="1405"/>
      <c r="AI70" s="1405"/>
      <c r="AJ70" s="1405"/>
      <c r="AK70" s="1405"/>
      <c r="AL70" s="1405"/>
      <c r="AM70" s="1405"/>
      <c r="AN70" s="1405"/>
      <c r="AO70" s="1405"/>
      <c r="AP70" s="1405"/>
      <c r="AQ70" s="1405"/>
      <c r="AR70" s="1405"/>
      <c r="AS70" s="1405"/>
      <c r="AT70" s="1405"/>
      <c r="AU70" s="1405"/>
      <c r="AV70" s="1405"/>
      <c r="AW70" s="1405"/>
      <c r="AX70" s="1405"/>
      <c r="AY70" s="1405"/>
      <c r="AZ70" s="1405"/>
      <c r="BA70" s="1405"/>
      <c r="BB70" s="1405"/>
      <c r="BC70" s="1405"/>
      <c r="BD70" s="1405"/>
      <c r="BE70" s="1405"/>
      <c r="BF70" s="1405"/>
      <c r="BG70" s="1405"/>
      <c r="BH70" s="1405"/>
      <c r="BI70" s="1405"/>
      <c r="BJ70" s="1405"/>
      <c r="BK70" s="1405"/>
      <c r="BL70" s="1405"/>
      <c r="BM70" s="1405"/>
      <c r="BN70" s="1405"/>
      <c r="BO70" s="1405"/>
      <c r="BP70" s="1405"/>
      <c r="BQ70" s="1405"/>
      <c r="BR70" s="1405"/>
      <c r="BS70" s="1405"/>
      <c r="BT70" s="1405"/>
      <c r="BU70" s="1405"/>
      <c r="BV70" s="1405"/>
      <c r="BW70" s="1405"/>
      <c r="BX70" s="1405"/>
      <c r="BY70" s="1405"/>
      <c r="BZ70" s="1405"/>
      <c r="CA70" s="1405"/>
      <c r="CB70" s="1405"/>
      <c r="CC70" s="1405"/>
      <c r="CD70" s="1405"/>
      <c r="CE70" s="1405"/>
      <c r="CF70" s="1405"/>
      <c r="CG70" s="1405"/>
      <c r="CH70" s="1405"/>
      <c r="CI70" s="1405"/>
      <c r="CJ70" s="1405"/>
      <c r="CK70" s="1405"/>
      <c r="CL70" s="1405"/>
      <c r="CM70" s="1405"/>
      <c r="CN70" s="1405"/>
      <c r="CO70" s="1405"/>
    </row>
    <row r="71" spans="1:93" ht="18" hidden="1" customHeight="1">
      <c r="A71" s="699"/>
      <c r="B71" s="689" t="s">
        <v>430</v>
      </c>
      <c r="C71" s="691" t="s">
        <v>23</v>
      </c>
      <c r="D71" s="906">
        <f>Chem!BC$34</f>
        <v>0</v>
      </c>
      <c r="E71" s="906">
        <f>Chem!BF$34</f>
        <v>0</v>
      </c>
      <c r="F71" s="893">
        <f>Chem!BD$34</f>
        <v>0</v>
      </c>
      <c r="G71" s="772"/>
      <c r="H71" s="692"/>
      <c r="I71" s="693"/>
      <c r="J71" s="893"/>
      <c r="K71" s="899"/>
      <c r="L71" s="693"/>
      <c r="M71" s="693"/>
      <c r="N71" s="752"/>
      <c r="O71" s="753">
        <f>J71-N71</f>
        <v>0</v>
      </c>
      <c r="P71" s="690"/>
      <c r="Q71" s="700"/>
      <c r="R71" s="701"/>
      <c r="S71" s="702"/>
      <c r="T71" s="702"/>
      <c r="U71" s="702"/>
      <c r="V71" s="342"/>
      <c r="W71" s="922"/>
      <c r="X71" s="291"/>
      <c r="Y71" s="291"/>
      <c r="Z71" s="291"/>
      <c r="AA71" s="291"/>
      <c r="AB71" s="291"/>
      <c r="AC71" s="291"/>
      <c r="AD71" s="291"/>
      <c r="AE71" s="291"/>
      <c r="AF71" s="1405"/>
      <c r="AG71" s="1405"/>
      <c r="AH71" s="1405"/>
      <c r="AI71" s="1405"/>
      <c r="AJ71" s="1405"/>
      <c r="AK71" s="1405"/>
      <c r="AL71" s="1405"/>
      <c r="AM71" s="1405"/>
      <c r="AN71" s="1405"/>
      <c r="AO71" s="1405"/>
      <c r="AP71" s="1405"/>
      <c r="AQ71" s="1405"/>
      <c r="AR71" s="1405"/>
      <c r="AS71" s="1405"/>
      <c r="AT71" s="1405"/>
      <c r="AU71" s="1405"/>
      <c r="AV71" s="1405"/>
      <c r="AW71" s="1405"/>
      <c r="AX71" s="1405"/>
      <c r="AY71" s="1405"/>
      <c r="AZ71" s="1405"/>
      <c r="BA71" s="1405"/>
      <c r="BB71" s="1405"/>
      <c r="BC71" s="1405"/>
      <c r="BD71" s="1405"/>
      <c r="BE71" s="1405"/>
      <c r="BF71" s="1405"/>
      <c r="BG71" s="1405"/>
      <c r="BH71" s="1405"/>
      <c r="BI71" s="1405"/>
      <c r="BJ71" s="1405"/>
      <c r="BK71" s="1405"/>
      <c r="BL71" s="1405"/>
      <c r="BM71" s="1405"/>
      <c r="BN71" s="1405"/>
      <c r="BO71" s="1405"/>
      <c r="BP71" s="1405"/>
      <c r="BQ71" s="1405"/>
      <c r="BR71" s="1405"/>
      <c r="BS71" s="1405"/>
      <c r="BT71" s="1405"/>
      <c r="BU71" s="1405"/>
      <c r="BV71" s="1405"/>
      <c r="BW71" s="1405"/>
      <c r="BX71" s="1405"/>
      <c r="BY71" s="1405"/>
      <c r="BZ71" s="1405"/>
      <c r="CA71" s="1405"/>
      <c r="CB71" s="1405"/>
      <c r="CC71" s="1405"/>
      <c r="CD71" s="1405"/>
      <c r="CE71" s="1405"/>
      <c r="CF71" s="1405"/>
      <c r="CG71" s="1405"/>
      <c r="CH71" s="1405"/>
      <c r="CI71" s="1405"/>
      <c r="CJ71" s="1405"/>
      <c r="CK71" s="1405"/>
      <c r="CL71" s="1405"/>
      <c r="CM71" s="1405"/>
      <c r="CN71" s="1405"/>
      <c r="CO71" s="1405"/>
    </row>
    <row r="72" spans="1:93" s="703" customFormat="1" ht="15" hidden="1" customHeight="1">
      <c r="A72" s="297"/>
      <c r="B72" s="305"/>
      <c r="C72" s="39"/>
      <c r="D72" s="306"/>
      <c r="E72" s="306"/>
      <c r="F72" s="306"/>
      <c r="G72" s="1491"/>
      <c r="H72" s="42"/>
      <c r="I72" s="42"/>
      <c r="J72" s="36"/>
      <c r="K72" s="40"/>
      <c r="L72" s="40"/>
      <c r="M72" s="40"/>
      <c r="N72" s="40"/>
      <c r="O72" s="40"/>
      <c r="P72" s="40"/>
      <c r="Q72" s="40"/>
      <c r="R72" s="36"/>
      <c r="S72" s="307"/>
      <c r="T72" s="307"/>
      <c r="U72" s="307"/>
      <c r="V72" s="702"/>
      <c r="W72" s="704"/>
      <c r="X72" s="291"/>
      <c r="Y72" s="291"/>
      <c r="Z72" s="291"/>
      <c r="AA72" s="291"/>
      <c r="AB72" s="291"/>
      <c r="AC72" s="291"/>
      <c r="AD72" s="291"/>
      <c r="AE72" s="291"/>
      <c r="AF72" s="1405"/>
      <c r="AG72" s="1405"/>
      <c r="AH72" s="1405"/>
      <c r="AI72" s="1405"/>
      <c r="AJ72" s="1405"/>
      <c r="AK72" s="1405"/>
      <c r="AL72" s="1405"/>
      <c r="AM72" s="1405"/>
      <c r="AN72" s="1405"/>
      <c r="AO72" s="1405"/>
      <c r="AP72" s="1405"/>
      <c r="AQ72" s="1405"/>
      <c r="AR72" s="1405"/>
      <c r="AS72" s="1405"/>
      <c r="AT72" s="1405"/>
      <c r="AU72" s="1405"/>
      <c r="AV72" s="1405"/>
      <c r="AW72" s="1405"/>
      <c r="AX72" s="1405"/>
      <c r="AY72" s="1405"/>
      <c r="AZ72" s="1405"/>
      <c r="BA72" s="1405"/>
      <c r="BB72" s="1405"/>
      <c r="BC72" s="1405"/>
      <c r="BD72" s="1405"/>
      <c r="BE72" s="1405"/>
      <c r="BF72" s="1405"/>
      <c r="BG72" s="1405"/>
      <c r="BH72" s="1405"/>
      <c r="BI72" s="1405"/>
      <c r="BJ72" s="1405"/>
      <c r="BK72" s="1405"/>
      <c r="BL72" s="1405"/>
      <c r="BM72" s="1405"/>
      <c r="BN72" s="1405"/>
      <c r="BO72" s="1405"/>
      <c r="BP72" s="1405"/>
      <c r="BQ72" s="1405"/>
      <c r="BR72" s="1405"/>
      <c r="BS72" s="1405"/>
      <c r="BT72" s="1405"/>
      <c r="BU72" s="1405"/>
      <c r="BV72" s="1405"/>
      <c r="BW72" s="1405"/>
      <c r="BX72" s="1405"/>
      <c r="BY72" s="1405"/>
      <c r="BZ72" s="1405"/>
      <c r="CA72" s="1405"/>
      <c r="CB72" s="1405"/>
      <c r="CC72" s="1405"/>
      <c r="CD72" s="1405"/>
      <c r="CE72" s="1405"/>
      <c r="CF72" s="1405"/>
      <c r="CG72" s="1405"/>
      <c r="CH72" s="1405"/>
      <c r="CI72" s="1405"/>
      <c r="CJ72" s="1405"/>
      <c r="CK72" s="1405"/>
      <c r="CL72" s="1405"/>
      <c r="CM72" s="1405"/>
      <c r="CN72" s="1405"/>
      <c r="CO72" s="1405"/>
    </row>
    <row r="73" spans="1:93" ht="16.5" customHeight="1">
      <c r="A73" s="297"/>
      <c r="B73" s="304"/>
      <c r="C73" s="304"/>
      <c r="D73" s="304"/>
      <c r="E73" s="304"/>
      <c r="F73" s="304"/>
      <c r="G73" s="304"/>
      <c r="H73" s="304"/>
      <c r="I73" s="304"/>
      <c r="J73" s="37"/>
      <c r="K73" s="1725" t="s">
        <v>420</v>
      </c>
      <c r="L73" s="1726"/>
      <c r="M73" s="1726"/>
      <c r="N73" s="1726"/>
      <c r="O73" s="1727"/>
      <c r="P73" s="1733" t="s">
        <v>595</v>
      </c>
      <c r="Q73" s="1733"/>
      <c r="R73" s="1724" t="s">
        <v>417</v>
      </c>
      <c r="S73" s="1724"/>
      <c r="T73" s="1724"/>
      <c r="U73" s="1724"/>
      <c r="V73" s="307"/>
      <c r="W73" s="324"/>
      <c r="X73" s="1368"/>
      <c r="Y73" s="1408"/>
      <c r="Z73" s="1408"/>
      <c r="AA73" s="1408"/>
      <c r="AB73" s="1408"/>
      <c r="AC73" s="1408"/>
      <c r="AD73" s="1408"/>
      <c r="AE73" s="1408"/>
      <c r="AF73" s="1408"/>
      <c r="AG73" s="1408"/>
      <c r="AH73" s="1408"/>
      <c r="AI73" s="1408"/>
      <c r="AJ73" s="1408"/>
      <c r="AK73" s="1408"/>
      <c r="AL73" s="1408"/>
      <c r="AM73" s="1408"/>
      <c r="AN73" s="293"/>
      <c r="AO73" s="1405"/>
      <c r="AP73" s="1405"/>
      <c r="AQ73" s="1405"/>
      <c r="AR73" s="1405"/>
      <c r="AS73" s="1405"/>
      <c r="AT73" s="1405"/>
      <c r="AU73" s="1405"/>
      <c r="AV73" s="1405"/>
      <c r="AW73" s="1405"/>
      <c r="AX73" s="1405"/>
      <c r="AY73" s="1405"/>
      <c r="AZ73" s="1405"/>
      <c r="BA73" s="1405"/>
      <c r="BB73" s="1405"/>
      <c r="BC73" s="1405"/>
      <c r="BD73" s="1405"/>
      <c r="BE73" s="1405"/>
      <c r="BF73" s="1405"/>
      <c r="BG73" s="1405"/>
      <c r="BH73" s="1405"/>
      <c r="BI73" s="1405"/>
      <c r="BJ73" s="1405"/>
      <c r="BK73" s="1405"/>
      <c r="BL73" s="1405"/>
      <c r="BM73" s="1405"/>
      <c r="BN73" s="1405"/>
      <c r="BO73" s="1405"/>
      <c r="BP73" s="1405"/>
      <c r="BQ73" s="1405"/>
      <c r="BR73" s="1405"/>
      <c r="BS73" s="1405"/>
      <c r="BT73" s="1405"/>
      <c r="BU73" s="1405"/>
      <c r="BV73" s="1405"/>
      <c r="BW73" s="1405"/>
      <c r="BX73" s="1405"/>
      <c r="BY73" s="1405"/>
      <c r="BZ73" s="1405"/>
      <c r="CA73" s="1405"/>
      <c r="CB73" s="1405"/>
      <c r="CC73" s="1405"/>
      <c r="CD73" s="1405"/>
      <c r="CE73" s="1405"/>
      <c r="CF73" s="1405"/>
      <c r="CG73" s="1405"/>
      <c r="CH73" s="1405"/>
      <c r="CI73" s="1405"/>
      <c r="CJ73" s="1405"/>
      <c r="CK73" s="1405"/>
      <c r="CL73" s="1405"/>
      <c r="CM73" s="1405"/>
      <c r="CN73" s="1405"/>
      <c r="CO73" s="1405"/>
    </row>
    <row r="74" spans="1:93" ht="15.75" customHeight="1" thickBot="1">
      <c r="A74" s="297"/>
      <c r="B74" s="6" t="s">
        <v>406</v>
      </c>
      <c r="C74" s="6"/>
      <c r="D74" s="7"/>
      <c r="E74" s="7"/>
      <c r="F74" s="7"/>
      <c r="G74" s="7"/>
      <c r="H74" s="7"/>
      <c r="I74" s="381" t="s">
        <v>664</v>
      </c>
      <c r="J74" s="381"/>
      <c r="K74" s="1669" t="s">
        <v>421</v>
      </c>
      <c r="L74" s="1693"/>
      <c r="M74" s="1693"/>
      <c r="N74" s="1693"/>
      <c r="O74" s="1670"/>
      <c r="P74" s="1696" t="s">
        <v>423</v>
      </c>
      <c r="Q74" s="1697"/>
      <c r="R74" s="1671" t="s">
        <v>418</v>
      </c>
      <c r="S74" s="1692"/>
      <c r="T74" s="1692"/>
      <c r="U74" s="1672"/>
      <c r="V74" s="304"/>
      <c r="W74" s="326"/>
      <c r="X74" s="1368"/>
      <c r="Y74" s="1408"/>
      <c r="Z74" s="1408"/>
      <c r="AA74" s="1408"/>
      <c r="AB74" s="1408"/>
      <c r="AC74" s="1408"/>
      <c r="AD74" s="1408"/>
      <c r="AE74" s="1408"/>
      <c r="AF74" s="1408"/>
      <c r="AG74" s="1408"/>
      <c r="AH74" s="1408"/>
      <c r="AI74" s="1408"/>
      <c r="AJ74" s="1408"/>
      <c r="AK74" s="1408"/>
      <c r="AL74" s="1408"/>
      <c r="AM74" s="1408"/>
      <c r="AN74" s="293"/>
      <c r="AO74" s="1405"/>
      <c r="AP74" s="1405"/>
      <c r="AQ74" s="1405"/>
      <c r="AR74" s="1405"/>
      <c r="AS74" s="1405"/>
      <c r="AT74" s="1405"/>
      <c r="AU74" s="1405"/>
      <c r="AV74" s="1405"/>
      <c r="AW74" s="1405"/>
      <c r="AX74" s="1405"/>
      <c r="AY74" s="1405"/>
      <c r="AZ74" s="1405"/>
      <c r="BA74" s="1405"/>
      <c r="BB74" s="1405"/>
      <c r="BC74" s="1405"/>
      <c r="BD74" s="1405"/>
      <c r="BE74" s="1405"/>
      <c r="BF74" s="1405"/>
      <c r="BG74" s="1405"/>
      <c r="BH74" s="1405"/>
      <c r="BI74" s="1405"/>
      <c r="BJ74" s="1405"/>
      <c r="BK74" s="1405"/>
      <c r="BL74" s="1405"/>
      <c r="BM74" s="1405"/>
      <c r="BN74" s="1405"/>
      <c r="BO74" s="1405"/>
      <c r="BP74" s="1405"/>
      <c r="BQ74" s="1405"/>
      <c r="BR74" s="1405"/>
      <c r="BS74" s="1405"/>
      <c r="BT74" s="1405"/>
      <c r="BU74" s="1405"/>
      <c r="BV74" s="1405"/>
      <c r="BW74" s="1405"/>
      <c r="BX74" s="1405"/>
      <c r="BY74" s="1405"/>
      <c r="BZ74" s="1405"/>
      <c r="CA74" s="1405"/>
      <c r="CB74" s="1405"/>
      <c r="CC74" s="1405"/>
      <c r="CD74" s="1405"/>
      <c r="CE74" s="1405"/>
      <c r="CF74" s="1405"/>
      <c r="CG74" s="1405"/>
      <c r="CH74" s="1405"/>
      <c r="CI74" s="1405"/>
      <c r="CJ74" s="1405"/>
      <c r="CK74" s="1405"/>
      <c r="CL74" s="1405"/>
      <c r="CM74" s="1405"/>
      <c r="CN74" s="1405"/>
      <c r="CO74" s="1405"/>
    </row>
    <row r="75" spans="1:93" ht="15.75">
      <c r="A75" s="297"/>
      <c r="B75" s="1698" t="s">
        <v>290</v>
      </c>
      <c r="C75" s="1698" t="s">
        <v>291</v>
      </c>
      <c r="D75" s="1701" t="s">
        <v>306</v>
      </c>
      <c r="E75" s="1701"/>
      <c r="F75" s="1702" t="s">
        <v>463</v>
      </c>
      <c r="G75" s="1705" t="s">
        <v>473</v>
      </c>
      <c r="H75" s="1708" t="s">
        <v>465</v>
      </c>
      <c r="I75" s="1679" t="s">
        <v>419</v>
      </c>
      <c r="J75" s="1680"/>
      <c r="K75" s="1689" t="s">
        <v>306</v>
      </c>
      <c r="L75" s="1690"/>
      <c r="M75" s="1691" t="s">
        <v>307</v>
      </c>
      <c r="N75" s="1691"/>
      <c r="O75" s="1691"/>
      <c r="P75" s="1689" t="s">
        <v>306</v>
      </c>
      <c r="Q75" s="1690"/>
      <c r="R75" s="1691" t="s">
        <v>306</v>
      </c>
      <c r="S75" s="1691"/>
      <c r="T75" s="1689" t="s">
        <v>307</v>
      </c>
      <c r="U75" s="1690"/>
      <c r="V75" s="857"/>
      <c r="W75" s="324"/>
      <c r="X75" s="1368"/>
      <c r="Y75" s="1409"/>
      <c r="Z75" s="1410"/>
      <c r="AA75" s="1410"/>
      <c r="AB75" s="1410"/>
      <c r="AC75" s="1410"/>
      <c r="AD75" s="1410"/>
      <c r="AE75" s="1410"/>
      <c r="AF75" s="1410"/>
      <c r="AG75" s="1410"/>
      <c r="AH75" s="1410"/>
      <c r="AI75" s="1410"/>
      <c r="AJ75" s="1410"/>
      <c r="AK75" s="1410"/>
      <c r="AL75" s="1411"/>
      <c r="AM75" s="1408"/>
      <c r="AN75" s="293"/>
      <c r="AO75" s="1405"/>
      <c r="AP75" s="1405"/>
      <c r="AQ75" s="1405"/>
      <c r="AR75" s="1405"/>
      <c r="AS75" s="1405"/>
      <c r="AT75" s="1405"/>
      <c r="AU75" s="1405"/>
      <c r="AV75" s="1405"/>
      <c r="AW75" s="1405"/>
      <c r="AX75" s="1405"/>
      <c r="AY75" s="1405"/>
      <c r="AZ75" s="1405"/>
      <c r="BA75" s="1405"/>
      <c r="BB75" s="1405"/>
      <c r="BC75" s="1405"/>
      <c r="BD75" s="1405"/>
      <c r="BE75" s="1405"/>
      <c r="BF75" s="1405"/>
      <c r="BG75" s="1405"/>
      <c r="BH75" s="1405"/>
      <c r="BI75" s="1405"/>
      <c r="BJ75" s="1405"/>
      <c r="BK75" s="1405"/>
      <c r="BL75" s="1405"/>
      <c r="BM75" s="1405"/>
      <c r="BN75" s="1405"/>
      <c r="BO75" s="1405"/>
      <c r="BP75" s="1405"/>
      <c r="BQ75" s="1405"/>
      <c r="BR75" s="1405"/>
      <c r="BS75" s="1405"/>
      <c r="BT75" s="1405"/>
      <c r="BU75" s="1405"/>
      <c r="BV75" s="1405"/>
      <c r="BW75" s="1405"/>
      <c r="BX75" s="1405"/>
      <c r="BY75" s="1405"/>
      <c r="BZ75" s="1405"/>
      <c r="CA75" s="1405"/>
      <c r="CB75" s="1405"/>
      <c r="CC75" s="1405"/>
      <c r="CD75" s="1405"/>
      <c r="CE75" s="1405"/>
      <c r="CF75" s="1405"/>
      <c r="CG75" s="1405"/>
      <c r="CH75" s="1405"/>
      <c r="CI75" s="1405"/>
      <c r="CJ75" s="1405"/>
      <c r="CK75" s="1405"/>
      <c r="CL75" s="1405"/>
      <c r="CM75" s="1405"/>
      <c r="CN75" s="1405"/>
      <c r="CO75" s="1405"/>
    </row>
    <row r="76" spans="1:93" ht="15.75" customHeight="1">
      <c r="A76" s="297"/>
      <c r="B76" s="1699"/>
      <c r="C76" s="1699"/>
      <c r="D76" s="1701" t="s">
        <v>7</v>
      </c>
      <c r="E76" s="1701"/>
      <c r="F76" s="1703"/>
      <c r="G76" s="1706"/>
      <c r="H76" s="1709"/>
      <c r="I76" s="1679" t="s">
        <v>6</v>
      </c>
      <c r="J76" s="1680"/>
      <c r="K76" s="1689" t="s">
        <v>6</v>
      </c>
      <c r="L76" s="1690"/>
      <c r="M76" s="1691" t="s">
        <v>6</v>
      </c>
      <c r="N76" s="1691"/>
      <c r="O76" s="1712" t="s">
        <v>7</v>
      </c>
      <c r="P76" s="1689" t="s">
        <v>6</v>
      </c>
      <c r="Q76" s="1690"/>
      <c r="R76" s="1689" t="s">
        <v>6</v>
      </c>
      <c r="S76" s="1690"/>
      <c r="T76" s="1691" t="s">
        <v>6</v>
      </c>
      <c r="U76" s="1691"/>
      <c r="V76" s="857"/>
      <c r="W76" s="324"/>
      <c r="X76" s="1368"/>
      <c r="Y76" s="1339"/>
      <c r="Z76" s="1332">
        <f>H4</f>
        <v>43800</v>
      </c>
      <c r="AA76" s="1333"/>
      <c r="AB76" s="1333"/>
      <c r="AC76" s="1333"/>
      <c r="AD76" s="1333"/>
      <c r="AE76" s="1333"/>
      <c r="AF76" s="1333"/>
      <c r="AG76" s="1333"/>
      <c r="AH76" s="1333"/>
      <c r="AI76" s="1333"/>
      <c r="AJ76" s="1333"/>
      <c r="AK76" s="1333"/>
      <c r="AL76" s="1340"/>
      <c r="AM76" s="1408"/>
      <c r="AN76" s="293"/>
      <c r="AO76" s="1405"/>
      <c r="AP76" s="1405"/>
      <c r="AQ76" s="1405"/>
      <c r="AR76" s="1405"/>
      <c r="AS76" s="1405"/>
      <c r="AT76" s="1405"/>
      <c r="AU76" s="1405"/>
      <c r="AV76" s="1405"/>
      <c r="AW76" s="1405"/>
      <c r="AX76" s="1405"/>
      <c r="AY76" s="1405"/>
      <c r="AZ76" s="1405"/>
      <c r="BA76" s="1405"/>
      <c r="BB76" s="1405"/>
      <c r="BC76" s="1405"/>
      <c r="BD76" s="1405"/>
      <c r="BE76" s="1405"/>
      <c r="BF76" s="1405"/>
      <c r="BG76" s="1405"/>
      <c r="BH76" s="1405"/>
      <c r="BI76" s="1405"/>
      <c r="BJ76" s="1405"/>
      <c r="BK76" s="1405"/>
      <c r="BL76" s="1405"/>
      <c r="BM76" s="1405"/>
      <c r="BN76" s="1405"/>
      <c r="BO76" s="1405"/>
      <c r="BP76" s="1405"/>
      <c r="BQ76" s="1405"/>
      <c r="BR76" s="1405"/>
      <c r="BS76" s="1405"/>
      <c r="BT76" s="1405"/>
      <c r="BU76" s="1405"/>
      <c r="BV76" s="1405"/>
      <c r="BW76" s="1405"/>
      <c r="BX76" s="1405"/>
      <c r="BY76" s="1405"/>
      <c r="BZ76" s="1405"/>
      <c r="CA76" s="1405"/>
      <c r="CB76" s="1405"/>
      <c r="CC76" s="1405"/>
      <c r="CD76" s="1405"/>
      <c r="CE76" s="1405"/>
      <c r="CF76" s="1405"/>
      <c r="CG76" s="1405"/>
      <c r="CH76" s="1405"/>
      <c r="CI76" s="1405"/>
      <c r="CJ76" s="1405"/>
      <c r="CK76" s="1405"/>
      <c r="CL76" s="1405"/>
      <c r="CM76" s="1405"/>
      <c r="CN76" s="1405"/>
      <c r="CO76" s="1405"/>
    </row>
    <row r="77" spans="1:93" ht="15.75">
      <c r="A77" s="297"/>
      <c r="B77" s="1700"/>
      <c r="C77" s="1700"/>
      <c r="D77" s="509" t="s">
        <v>1</v>
      </c>
      <c r="E77" s="509" t="s">
        <v>19</v>
      </c>
      <c r="F77" s="1704"/>
      <c r="G77" s="1707"/>
      <c r="H77" s="1710"/>
      <c r="I77" s="860" t="s">
        <v>1</v>
      </c>
      <c r="J77" s="860" t="s">
        <v>19</v>
      </c>
      <c r="K77" s="854" t="s">
        <v>1</v>
      </c>
      <c r="L77" s="653" t="s">
        <v>19</v>
      </c>
      <c r="M77" s="854" t="s">
        <v>1</v>
      </c>
      <c r="N77" s="653" t="s">
        <v>19</v>
      </c>
      <c r="O77" s="1713"/>
      <c r="P77" s="854" t="s">
        <v>1</v>
      </c>
      <c r="Q77" s="653" t="s">
        <v>19</v>
      </c>
      <c r="R77" s="651" t="s">
        <v>1</v>
      </c>
      <c r="S77" s="652" t="s">
        <v>19</v>
      </c>
      <c r="T77" s="854" t="s">
        <v>1</v>
      </c>
      <c r="U77" s="653" t="s">
        <v>19</v>
      </c>
      <c r="V77" s="857"/>
      <c r="W77" s="324"/>
      <c r="X77" s="1368"/>
      <c r="Y77" s="1341"/>
      <c r="Z77" s="1334"/>
      <c r="AA77" s="1711"/>
      <c r="AB77" s="1711"/>
      <c r="AC77" s="1335"/>
      <c r="AD77" s="1336"/>
      <c r="AE77" s="1336"/>
      <c r="AF77" s="1336"/>
      <c r="AG77" s="1336"/>
      <c r="AH77" s="1336"/>
      <c r="AI77" s="1333"/>
      <c r="AJ77" s="1333"/>
      <c r="AK77" s="1333"/>
      <c r="AL77" s="1340"/>
      <c r="AM77" s="1408"/>
      <c r="AN77" s="293"/>
      <c r="AO77" s="1405"/>
      <c r="AP77" s="1405"/>
      <c r="AQ77" s="1405"/>
      <c r="AR77" s="1405"/>
      <c r="AS77" s="1405"/>
      <c r="AT77" s="1405"/>
      <c r="AU77" s="1405"/>
      <c r="AV77" s="1405"/>
      <c r="AW77" s="1405"/>
      <c r="AX77" s="1405"/>
      <c r="AY77" s="1405"/>
      <c r="AZ77" s="1405"/>
      <c r="BA77" s="1405"/>
      <c r="BB77" s="1405"/>
      <c r="BC77" s="1405"/>
      <c r="BD77" s="1405"/>
      <c r="BE77" s="1405"/>
      <c r="BF77" s="1405"/>
      <c r="BG77" s="1405"/>
      <c r="BH77" s="1405"/>
      <c r="BI77" s="1405"/>
      <c r="BJ77" s="1405"/>
      <c r="BK77" s="1405"/>
      <c r="BL77" s="1405"/>
      <c r="BM77" s="1405"/>
      <c r="BN77" s="1405"/>
      <c r="BO77" s="1405"/>
      <c r="BP77" s="1405"/>
      <c r="BQ77" s="1405"/>
      <c r="BR77" s="1405"/>
      <c r="BS77" s="1405"/>
      <c r="BT77" s="1405"/>
      <c r="BU77" s="1405"/>
      <c r="BV77" s="1405"/>
      <c r="BW77" s="1405"/>
      <c r="BX77" s="1405"/>
      <c r="BY77" s="1405"/>
      <c r="BZ77" s="1405"/>
      <c r="CA77" s="1405"/>
      <c r="CB77" s="1405"/>
      <c r="CC77" s="1405"/>
      <c r="CD77" s="1405"/>
      <c r="CE77" s="1405"/>
      <c r="CF77" s="1405"/>
      <c r="CG77" s="1405"/>
      <c r="CH77" s="1405"/>
      <c r="CI77" s="1405"/>
      <c r="CJ77" s="1405"/>
      <c r="CK77" s="1405"/>
      <c r="CL77" s="1405"/>
      <c r="CM77" s="1405"/>
      <c r="CN77" s="1405"/>
      <c r="CO77" s="1405"/>
    </row>
    <row r="78" spans="1:93" ht="15.75">
      <c r="A78" s="297" t="s">
        <v>633</v>
      </c>
      <c r="B78" s="907" t="s">
        <v>32</v>
      </c>
      <c r="C78" s="908" t="s">
        <v>9</v>
      </c>
      <c r="D78" s="909">
        <f t="shared" ref="D78:D83" si="12">HLOOKUP($Z$76,$Z$78:$AK$84,MATCH(B78,$Y$78:$Y$84,0),FALSE)</f>
        <v>38574.865819275663</v>
      </c>
      <c r="E78" s="859">
        <f>AL79</f>
        <v>448291.43656269944</v>
      </c>
      <c r="F78" s="925">
        <f>LOOKUP($H$4,YearUpdate,BillS40)</f>
        <v>39062.889999999665</v>
      </c>
      <c r="G78" s="926"/>
      <c r="H78" s="926"/>
      <c r="I78" s="927">
        <f>SUM(F78:H78)</f>
        <v>39062.889999999665</v>
      </c>
      <c r="J78" s="928">
        <f>'Year 2019 Summary '!O39</f>
        <v>462646.44999999972</v>
      </c>
      <c r="K78" s="925">
        <f>LOOKUP($H$4,YearUpdate,OPEX_S40)</f>
        <v>36729.889999999665</v>
      </c>
      <c r="L78" s="916">
        <f>'Year 2019 Summary '!O40</f>
        <v>453802.92220004043</v>
      </c>
      <c r="M78" s="910">
        <f t="shared" ref="M78:M83" si="13">K78/($T$9+$T$22)</f>
        <v>2.9032823867534412</v>
      </c>
      <c r="N78" s="911">
        <f>L78/U31</f>
        <v>2.676978979656627</v>
      </c>
      <c r="O78" s="912">
        <f>'Year 2019 Summary '!P108</f>
        <v>2.5335715297772614</v>
      </c>
      <c r="P78" s="925">
        <f>LOOKUP($H$4,YearUpdate,OPSDS40)</f>
        <v>0</v>
      </c>
      <c r="Q78" s="916">
        <f>'Year 2019 Summary '!O42</f>
        <v>1893.365</v>
      </c>
      <c r="R78" s="931">
        <f>LOOKUP($H$4,YearUpdate,CPTAS40)</f>
        <v>0</v>
      </c>
      <c r="S78" s="916">
        <f>'Year 2019 Summary '!O41</f>
        <v>0</v>
      </c>
      <c r="T78" s="910">
        <f t="shared" ref="T78:T83" si="14">R78/($T$9+$T$22)</f>
        <v>0</v>
      </c>
      <c r="U78" s="911" t="e">
        <f t="shared" ref="U78:U83" si="15">S78/$U$9</f>
        <v>#DIV/0!</v>
      </c>
      <c r="V78" s="857"/>
      <c r="W78" s="324"/>
      <c r="X78" s="1368"/>
      <c r="Y78" s="1342"/>
      <c r="Z78" s="1282">
        <v>43466</v>
      </c>
      <c r="AA78" s="1282">
        <v>43497</v>
      </c>
      <c r="AB78" s="1282">
        <v>43525</v>
      </c>
      <c r="AC78" s="1282">
        <v>43556</v>
      </c>
      <c r="AD78" s="1282">
        <v>43586</v>
      </c>
      <c r="AE78" s="1282">
        <v>43617</v>
      </c>
      <c r="AF78" s="1282">
        <v>43647</v>
      </c>
      <c r="AG78" s="1282">
        <v>43678</v>
      </c>
      <c r="AH78" s="1282">
        <v>43709</v>
      </c>
      <c r="AI78" s="1282">
        <v>43739</v>
      </c>
      <c r="AJ78" s="1282">
        <v>43770</v>
      </c>
      <c r="AK78" s="1282">
        <v>43800</v>
      </c>
      <c r="AL78" s="1412" t="s">
        <v>106</v>
      </c>
      <c r="AM78" s="1408"/>
      <c r="AN78" s="293"/>
      <c r="AO78" s="1406"/>
      <c r="AP78" s="1405"/>
      <c r="AQ78" s="1405"/>
      <c r="AR78" s="1405"/>
      <c r="AS78" s="1405"/>
      <c r="AT78" s="1405"/>
      <c r="AU78" s="1405"/>
      <c r="AV78" s="1405"/>
      <c r="AW78" s="1405"/>
      <c r="AX78" s="1405"/>
      <c r="AY78" s="1405"/>
      <c r="AZ78" s="1405"/>
      <c r="BA78" s="1405"/>
      <c r="BB78" s="1405"/>
      <c r="BC78" s="1405"/>
      <c r="BD78" s="1405"/>
      <c r="BE78" s="1405"/>
      <c r="BF78" s="1405"/>
      <c r="BG78" s="1405"/>
      <c r="BH78" s="1405"/>
      <c r="BI78" s="1405"/>
      <c r="BJ78" s="1405"/>
      <c r="BK78" s="1405"/>
      <c r="BL78" s="1405"/>
      <c r="BM78" s="1405"/>
      <c r="BN78" s="1405"/>
      <c r="BO78" s="1405"/>
      <c r="BP78" s="1405"/>
      <c r="BQ78" s="1405"/>
      <c r="BR78" s="1405"/>
      <c r="BS78" s="1405"/>
      <c r="BT78" s="1405"/>
      <c r="BU78" s="1405"/>
      <c r="BV78" s="1405"/>
      <c r="BW78" s="1405"/>
      <c r="BX78" s="1405"/>
      <c r="BY78" s="1405"/>
      <c r="BZ78" s="1405"/>
      <c r="CA78" s="1405"/>
      <c r="CB78" s="1405"/>
      <c r="CC78" s="1405"/>
      <c r="CD78" s="1405"/>
      <c r="CE78" s="1405"/>
      <c r="CF78" s="1405"/>
      <c r="CG78" s="1405"/>
      <c r="CH78" s="1405"/>
      <c r="CI78" s="1405"/>
      <c r="CJ78" s="1405"/>
      <c r="CK78" s="1405"/>
      <c r="CL78" s="1405"/>
      <c r="CM78" s="1405"/>
      <c r="CN78" s="1405"/>
      <c r="CO78" s="1405"/>
    </row>
    <row r="79" spans="1:93" ht="15.75">
      <c r="A79" s="297" t="s">
        <v>634</v>
      </c>
      <c r="B79" s="907" t="s">
        <v>33</v>
      </c>
      <c r="C79" s="908" t="s">
        <v>9</v>
      </c>
      <c r="D79" s="909">
        <f t="shared" si="12"/>
        <v>45.676467428571435</v>
      </c>
      <c r="E79" s="859">
        <f t="shared" ref="E79:E83" si="16">AL80</f>
        <v>567.29229171428574</v>
      </c>
      <c r="F79" s="925">
        <f>LOOKUP($H$4,YearUpdate,BillS17)</f>
        <v>44.270000000000437</v>
      </c>
      <c r="G79" s="926"/>
      <c r="H79" s="937">
        <f>-LOOKUP($H$4,YearUpdate,S3_PHI)</f>
        <v>0</v>
      </c>
      <c r="I79" s="927">
        <f t="shared" ref="I79:I83" si="17">SUM(F79:H79)</f>
        <v>44.270000000000437</v>
      </c>
      <c r="J79" s="929">
        <f>'Year 2019 Summary '!O44-'Year 2019 Summary '!O47</f>
        <v>213.80000000000047</v>
      </c>
      <c r="K79" s="925">
        <f>LOOKUP($H$4,YearUpdate,OPEX_S17)</f>
        <v>27.445000000000437</v>
      </c>
      <c r="L79" s="916">
        <f>'Year 2019 Summary '!O45</f>
        <v>188.22330058138121</v>
      </c>
      <c r="M79" s="910">
        <f t="shared" si="13"/>
        <v>2.1693662873602452E-3</v>
      </c>
      <c r="N79" s="911">
        <f>L79/U31</f>
        <v>1.1103274009236946E-3</v>
      </c>
      <c r="O79" s="913">
        <f>'Year 2019 Summary '!P109</f>
        <v>3.0000000000000001E-3</v>
      </c>
      <c r="P79" s="925">
        <f>LOOKUP($H$4,YearUpdate,OPSDS17)</f>
        <v>0</v>
      </c>
      <c r="Q79" s="916">
        <f>'Year 2019 Summary '!O48</f>
        <v>0.23200000000000001</v>
      </c>
      <c r="R79" s="931">
        <f>LOOKUP($H$4,YearUpdate,CPTAS17)</f>
        <v>0</v>
      </c>
      <c r="S79" s="916">
        <f>'Year 2019 Summary '!O46</f>
        <v>0</v>
      </c>
      <c r="T79" s="910">
        <f t="shared" si="14"/>
        <v>0</v>
      </c>
      <c r="U79" s="911" t="e">
        <f t="shared" si="15"/>
        <v>#DIV/0!</v>
      </c>
      <c r="V79" s="857"/>
      <c r="W79" s="324"/>
      <c r="X79" s="1368"/>
      <c r="Y79" s="1343" t="s">
        <v>32</v>
      </c>
      <c r="Z79" s="1283">
        <f t="shared" ref="Z79:AK79" si="18">IF(MONTH($Z$76)&gt;=MONTH(Z$78),Z88,"")</f>
        <v>38574.865819275663</v>
      </c>
      <c r="AA79" s="1283">
        <f t="shared" si="18"/>
        <v>34805.595447280131</v>
      </c>
      <c r="AB79" s="1283">
        <f t="shared" si="18"/>
        <v>38574.865819275663</v>
      </c>
      <c r="AC79" s="1283">
        <f t="shared" si="18"/>
        <v>37318.442361943817</v>
      </c>
      <c r="AD79" s="1283">
        <f t="shared" si="18"/>
        <v>36484.973335792987</v>
      </c>
      <c r="AE79" s="1283">
        <f t="shared" si="18"/>
        <v>35685.171989948292</v>
      </c>
      <c r="AF79" s="1283">
        <f t="shared" si="18"/>
        <v>38574.865819275663</v>
      </c>
      <c r="AG79" s="1283">
        <f t="shared" si="18"/>
        <v>38574.865819275663</v>
      </c>
      <c r="AH79" s="1283">
        <f t="shared" si="18"/>
        <v>35228.549878461148</v>
      </c>
      <c r="AI79" s="1283">
        <f t="shared" si="18"/>
        <v>38574.865819275663</v>
      </c>
      <c r="AJ79" s="1283">
        <f t="shared" si="18"/>
        <v>37319.508633619058</v>
      </c>
      <c r="AK79" s="1283">
        <f t="shared" si="18"/>
        <v>38574.865819275663</v>
      </c>
      <c r="AL79" s="1413">
        <f>SUM(Z79:AK79)</f>
        <v>448291.43656269944</v>
      </c>
      <c r="AM79" s="1408"/>
      <c r="AN79" s="293"/>
      <c r="AO79" s="1406"/>
      <c r="AP79" s="1405"/>
      <c r="AQ79" s="1405"/>
      <c r="AR79" s="1405"/>
      <c r="AS79" s="1405"/>
      <c r="AT79" s="1405"/>
      <c r="AU79" s="1405"/>
      <c r="AV79" s="1405"/>
      <c r="AW79" s="1405"/>
      <c r="AX79" s="1405"/>
      <c r="AY79" s="1405"/>
      <c r="AZ79" s="1405"/>
      <c r="BA79" s="1405"/>
      <c r="BB79" s="1405"/>
      <c r="BC79" s="1405"/>
      <c r="BD79" s="1405"/>
      <c r="BE79" s="1405"/>
      <c r="BF79" s="1405"/>
      <c r="BG79" s="1405"/>
      <c r="BH79" s="1405"/>
      <c r="BI79" s="1405"/>
      <c r="BJ79" s="1405"/>
      <c r="BK79" s="1405"/>
      <c r="BL79" s="1405"/>
      <c r="BM79" s="1405"/>
      <c r="BN79" s="1405"/>
      <c r="BO79" s="1405"/>
      <c r="BP79" s="1405"/>
      <c r="BQ79" s="1405"/>
      <c r="BR79" s="1405"/>
      <c r="BS79" s="1405"/>
      <c r="BT79" s="1405"/>
      <c r="BU79" s="1405"/>
      <c r="BV79" s="1405"/>
      <c r="BW79" s="1405"/>
      <c r="BX79" s="1405"/>
      <c r="BY79" s="1405"/>
      <c r="BZ79" s="1405"/>
      <c r="CA79" s="1405"/>
      <c r="CB79" s="1405"/>
      <c r="CC79" s="1405"/>
      <c r="CD79" s="1405"/>
      <c r="CE79" s="1405"/>
      <c r="CF79" s="1405"/>
      <c r="CG79" s="1405"/>
      <c r="CH79" s="1405"/>
      <c r="CI79" s="1405"/>
      <c r="CJ79" s="1405"/>
      <c r="CK79" s="1405"/>
      <c r="CL79" s="1405"/>
      <c r="CM79" s="1405"/>
      <c r="CN79" s="1405"/>
      <c r="CO79" s="1405"/>
    </row>
    <row r="80" spans="1:93" ht="15.75">
      <c r="A80" s="297" t="s">
        <v>632</v>
      </c>
      <c r="B80" s="907" t="s">
        <v>34</v>
      </c>
      <c r="C80" s="908" t="s">
        <v>9</v>
      </c>
      <c r="D80" s="909">
        <f t="shared" si="12"/>
        <v>113.59535723884078</v>
      </c>
      <c r="E80" s="859">
        <f t="shared" si="16"/>
        <v>1661.8395979867717</v>
      </c>
      <c r="F80" s="925">
        <f>LOOKUP($H$4,YearUpdate,BillDW)</f>
        <v>754.27999999999884</v>
      </c>
      <c r="G80" s="926"/>
      <c r="H80" s="926"/>
      <c r="I80" s="927">
        <f t="shared" si="17"/>
        <v>754.27999999999884</v>
      </c>
      <c r="J80" s="930">
        <f>'Year 2019 Summary '!O50</f>
        <v>2737.1299999999992</v>
      </c>
      <c r="K80" s="925">
        <f>LOOKUP($H$4,YearUpdate,OPEX_DW)</f>
        <v>47.41399999999885</v>
      </c>
      <c r="L80" s="916">
        <f>'Year 2019 Summary '!O51</f>
        <v>639.89436674002332</v>
      </c>
      <c r="M80" s="910">
        <f t="shared" si="13"/>
        <v>3.7477986208378404E-3</v>
      </c>
      <c r="N80" s="911">
        <f>L80/U31</f>
        <v>3.7747305827366012E-3</v>
      </c>
      <c r="O80" s="913">
        <f>'Year 2019 Summary '!P110</f>
        <v>7.460867507966578E-3</v>
      </c>
      <c r="P80" s="925">
        <f>LOOKUP($H$4,YearUpdate,OPSDDW)</f>
        <v>0</v>
      </c>
      <c r="Q80" s="916">
        <f>'Year 2019 Summary '!O53</f>
        <v>602.18799999999999</v>
      </c>
      <c r="R80" s="931">
        <f>LOOKUP($H$4,YearUpdate,CPTADW)</f>
        <v>0</v>
      </c>
      <c r="S80" s="916">
        <f>'Year 2019 Summary '!O52</f>
        <v>0</v>
      </c>
      <c r="T80" s="910">
        <f t="shared" si="14"/>
        <v>0</v>
      </c>
      <c r="U80" s="911" t="e">
        <f t="shared" si="15"/>
        <v>#DIV/0!</v>
      </c>
      <c r="V80" s="857"/>
      <c r="W80" s="324"/>
      <c r="X80" s="1368"/>
      <c r="Y80" s="1343" t="s">
        <v>33</v>
      </c>
      <c r="Z80" s="1283">
        <f t="shared" ref="Z80:AK80" si="19">IF(MONTH($Z$76)&gt;=MONTH(Z$78),Z89,"")</f>
        <v>45.676467428571435</v>
      </c>
      <c r="AA80" s="1283">
        <f t="shared" si="19"/>
        <v>41.213277428571431</v>
      </c>
      <c r="AB80" s="1283">
        <f t="shared" si="19"/>
        <v>45.676467428571435</v>
      </c>
      <c r="AC80" s="1283">
        <f t="shared" si="19"/>
        <v>44.188737428571429</v>
      </c>
      <c r="AD80" s="1283">
        <f t="shared" si="19"/>
        <v>43.201827428571434</v>
      </c>
      <c r="AE80" s="1283">
        <f t="shared" si="19"/>
        <v>78.725547428571431</v>
      </c>
      <c r="AF80" s="1283">
        <f t="shared" si="19"/>
        <v>45.676467428571435</v>
      </c>
      <c r="AG80" s="1283">
        <f t="shared" si="19"/>
        <v>45.676467428571435</v>
      </c>
      <c r="AH80" s="1283">
        <f t="shared" si="19"/>
        <v>41.714097428571435</v>
      </c>
      <c r="AI80" s="1283">
        <f t="shared" si="19"/>
        <v>45.676467428571435</v>
      </c>
      <c r="AJ80" s="1283">
        <f t="shared" si="19"/>
        <v>44.19</v>
      </c>
      <c r="AK80" s="1283">
        <f t="shared" si="19"/>
        <v>45.676467428571435</v>
      </c>
      <c r="AL80" s="1413">
        <f t="shared" ref="AL80:AL84" si="20">SUM(Z80:AK80)</f>
        <v>567.29229171428574</v>
      </c>
      <c r="AM80" s="1408"/>
      <c r="AN80" s="293"/>
      <c r="AO80" s="1406"/>
      <c r="AP80" s="1405"/>
      <c r="AQ80" s="1405"/>
      <c r="AR80" s="1405"/>
      <c r="AS80" s="1405"/>
      <c r="AT80" s="1405"/>
      <c r="AU80" s="1405"/>
      <c r="AV80" s="1405"/>
      <c r="AW80" s="1405"/>
      <c r="AX80" s="1405"/>
      <c r="AY80" s="1405"/>
      <c r="AZ80" s="1405"/>
      <c r="BA80" s="1405"/>
      <c r="BB80" s="1405"/>
      <c r="BC80" s="1405"/>
      <c r="BD80" s="1405"/>
      <c r="BE80" s="1405"/>
      <c r="BF80" s="1405"/>
      <c r="BG80" s="1405"/>
      <c r="BH80" s="1405"/>
      <c r="BI80" s="1405"/>
      <c r="BJ80" s="1405"/>
      <c r="BK80" s="1405"/>
      <c r="BL80" s="1405"/>
      <c r="BM80" s="1405"/>
      <c r="BN80" s="1405"/>
      <c r="BO80" s="1405"/>
      <c r="BP80" s="1405"/>
      <c r="BQ80" s="1405"/>
      <c r="BR80" s="1405"/>
      <c r="BS80" s="1405"/>
      <c r="BT80" s="1405"/>
      <c r="BU80" s="1405"/>
      <c r="BV80" s="1405"/>
      <c r="BW80" s="1405"/>
      <c r="BX80" s="1405"/>
      <c r="BY80" s="1405"/>
      <c r="BZ80" s="1405"/>
      <c r="CA80" s="1405"/>
      <c r="CB80" s="1405"/>
      <c r="CC80" s="1405"/>
      <c r="CD80" s="1405"/>
      <c r="CE80" s="1405"/>
      <c r="CF80" s="1405"/>
      <c r="CG80" s="1405"/>
      <c r="CH80" s="1405"/>
      <c r="CI80" s="1405"/>
      <c r="CJ80" s="1405"/>
      <c r="CK80" s="1405"/>
      <c r="CL80" s="1405"/>
      <c r="CM80" s="1405"/>
      <c r="CN80" s="1405"/>
      <c r="CO80" s="1405"/>
    </row>
    <row r="81" spans="1:93" ht="15.75">
      <c r="A81" s="297" t="s">
        <v>635</v>
      </c>
      <c r="B81" s="907" t="s">
        <v>35</v>
      </c>
      <c r="C81" s="908" t="s">
        <v>9</v>
      </c>
      <c r="D81" s="909">
        <f t="shared" si="12"/>
        <v>38826.251039312097</v>
      </c>
      <c r="E81" s="859">
        <f t="shared" si="16"/>
        <v>453787.94849329756</v>
      </c>
      <c r="F81" s="925">
        <f>LOOKUP($H$4,YearUpdate,BillCLW)</f>
        <v>81044</v>
      </c>
      <c r="G81" s="926"/>
      <c r="H81" s="937">
        <f>-LOOKUP($H$4,YearUpdate,CLW_PHI_to)</f>
        <v>-44316</v>
      </c>
      <c r="I81" s="927">
        <f t="shared" si="17"/>
        <v>36728</v>
      </c>
      <c r="J81" s="930">
        <f>'Year 2019 Summary '!O59-'Year 2019 Summary '!O64</f>
        <v>467926.08999999997</v>
      </c>
      <c r="K81" s="925">
        <f>LOOKUP($H$4,YearUpdate,OPEX_CLW)</f>
        <v>36728</v>
      </c>
      <c r="L81" s="916">
        <f>'Year 2019 Summary '!O60</f>
        <v>461753.79699999996</v>
      </c>
      <c r="M81" s="910">
        <f t="shared" si="13"/>
        <v>2.9031329933381604</v>
      </c>
      <c r="N81" s="911">
        <f>L81/U31</f>
        <v>2.7238811119879629</v>
      </c>
      <c r="O81" s="913">
        <f>'Year 2019 Summary '!P112</f>
        <v>2.5500823438258449</v>
      </c>
      <c r="P81" s="925">
        <f>LOOKUP($H$4,YearUpdate,OPSDCLW)</f>
        <v>0</v>
      </c>
      <c r="Q81" s="916">
        <f>'Year 2019 Summary '!O62</f>
        <v>6172.2929999999997</v>
      </c>
      <c r="R81" s="931">
        <f>LOOKUP($H$4,YearUpdate,CPTACLW)</f>
        <v>0</v>
      </c>
      <c r="S81" s="916">
        <f>'Year 2019 Summary '!O61</f>
        <v>0</v>
      </c>
      <c r="T81" s="910">
        <f t="shared" si="14"/>
        <v>0</v>
      </c>
      <c r="U81" s="911" t="e">
        <f t="shared" si="15"/>
        <v>#DIV/0!</v>
      </c>
      <c r="V81" s="857"/>
      <c r="W81" s="324"/>
      <c r="X81" s="1368"/>
      <c r="Y81" s="1343" t="s">
        <v>34</v>
      </c>
      <c r="Z81" s="1283">
        <f t="shared" ref="Z81:AK81" si="21">IF(MONTH($Z$76)&gt;=MONTH(Z$78),Z90,"")</f>
        <v>113.59535723884078</v>
      </c>
      <c r="AA81" s="1283">
        <f t="shared" si="21"/>
        <v>102.49560082121364</v>
      </c>
      <c r="AB81" s="1283">
        <f t="shared" si="21"/>
        <v>113.59535723884078</v>
      </c>
      <c r="AC81" s="1283">
        <f t="shared" si="21"/>
        <v>109.89543843296505</v>
      </c>
      <c r="AD81" s="1283">
        <f t="shared" si="21"/>
        <v>107.4410368488693</v>
      </c>
      <c r="AE81" s="1283">
        <f t="shared" si="21"/>
        <v>446.79568201533795</v>
      </c>
      <c r="AF81" s="1283">
        <f t="shared" si="21"/>
        <v>113.59535723884078</v>
      </c>
      <c r="AG81" s="1283">
        <f t="shared" si="21"/>
        <v>113.59535723884078</v>
      </c>
      <c r="AH81" s="1283">
        <f t="shared" si="21"/>
        <v>103.74111804299359</v>
      </c>
      <c r="AI81" s="1283">
        <f t="shared" si="21"/>
        <v>113.59535723884078</v>
      </c>
      <c r="AJ81" s="1283">
        <f t="shared" si="21"/>
        <v>109.89857839234769</v>
      </c>
      <c r="AK81" s="1283">
        <f t="shared" si="21"/>
        <v>113.59535723884078</v>
      </c>
      <c r="AL81" s="1413">
        <f t="shared" si="20"/>
        <v>1661.8395979867717</v>
      </c>
      <c r="AM81" s="1408"/>
      <c r="AN81" s="293"/>
      <c r="AO81" s="1406"/>
      <c r="AP81" s="1405"/>
      <c r="AQ81" s="1405"/>
      <c r="AR81" s="1405"/>
      <c r="AS81" s="1405"/>
      <c r="AT81" s="1405"/>
      <c r="AU81" s="1405"/>
      <c r="AV81" s="1405"/>
      <c r="AW81" s="1405"/>
      <c r="AX81" s="1405"/>
      <c r="AY81" s="1405"/>
      <c r="AZ81" s="1405"/>
      <c r="BA81" s="1405"/>
      <c r="BB81" s="1405"/>
      <c r="BC81" s="1405"/>
      <c r="BD81" s="1405"/>
      <c r="BE81" s="1405"/>
      <c r="BF81" s="1405"/>
      <c r="BG81" s="1405"/>
      <c r="BH81" s="1405"/>
      <c r="BI81" s="1405"/>
      <c r="BJ81" s="1405"/>
      <c r="BK81" s="1405"/>
      <c r="BL81" s="1405"/>
      <c r="BM81" s="1405"/>
      <c r="BN81" s="1405"/>
      <c r="BO81" s="1405"/>
      <c r="BP81" s="1405"/>
      <c r="BQ81" s="1405"/>
      <c r="BR81" s="1405"/>
      <c r="BS81" s="1405"/>
      <c r="BT81" s="1405"/>
      <c r="BU81" s="1405"/>
      <c r="BV81" s="1405"/>
      <c r="BW81" s="1405"/>
      <c r="BX81" s="1405"/>
      <c r="BY81" s="1405"/>
      <c r="BZ81" s="1405"/>
      <c r="CA81" s="1405"/>
      <c r="CB81" s="1405"/>
      <c r="CC81" s="1405"/>
      <c r="CD81" s="1405"/>
      <c r="CE81" s="1405"/>
      <c r="CF81" s="1405"/>
      <c r="CG81" s="1405"/>
      <c r="CH81" s="1405"/>
      <c r="CI81" s="1405"/>
      <c r="CJ81" s="1405"/>
      <c r="CK81" s="1405"/>
      <c r="CL81" s="1405"/>
      <c r="CM81" s="1405"/>
      <c r="CN81" s="1405"/>
      <c r="CO81" s="1405"/>
    </row>
    <row r="82" spans="1:93" ht="15.75">
      <c r="A82" s="297" t="s">
        <v>630</v>
      </c>
      <c r="B82" s="907" t="s">
        <v>37</v>
      </c>
      <c r="C82" s="915" t="s">
        <v>38</v>
      </c>
      <c r="D82" s="909">
        <f t="shared" si="12"/>
        <v>549866.25094964274</v>
      </c>
      <c r="E82" s="859">
        <f t="shared" si="16"/>
        <v>6414422.2254571421</v>
      </c>
      <c r="F82" s="925">
        <f>LOOKUP($H$4,YearUpdate,BillN2)</f>
        <v>620071</v>
      </c>
      <c r="G82" s="926"/>
      <c r="H82" s="937">
        <f>-LOOKUP($H$4,YearUpdate,N2_PHI)</f>
        <v>-21537</v>
      </c>
      <c r="I82" s="927">
        <f t="shared" si="17"/>
        <v>598534</v>
      </c>
      <c r="J82" s="930">
        <f>'Year 2019 Summary '!O65-'Year 2019 Summary '!O69</f>
        <v>7377613.4399999995</v>
      </c>
      <c r="K82" s="925">
        <f>LOOKUP($H$4,YearUpdate,OPEX_N2)</f>
        <v>506332</v>
      </c>
      <c r="L82" s="916">
        <f>'Year 2019 Summary '!O66</f>
        <v>7101710.0264606588</v>
      </c>
      <c r="M82" s="910">
        <f t="shared" si="13"/>
        <v>40.022575004979778</v>
      </c>
      <c r="N82" s="911">
        <f>L82/U31</f>
        <v>41.892917675112756</v>
      </c>
      <c r="O82" s="912">
        <f>'Year 2019 Summary '!P113</f>
        <v>36.114849630798616</v>
      </c>
      <c r="P82" s="925">
        <f>LOOKUP($H$4,YearUpdate,OPSDN2)</f>
        <v>0</v>
      </c>
      <c r="Q82" s="916">
        <f>'Year 2019 Summary '!O70</f>
        <v>54330</v>
      </c>
      <c r="R82" s="931">
        <f>LOOKUP($H$4,YearUpdate,CPTAN2)</f>
        <v>0</v>
      </c>
      <c r="S82" s="916">
        <f>'Year 2019 Summary '!O68</f>
        <v>0</v>
      </c>
      <c r="T82" s="910">
        <f t="shared" si="14"/>
        <v>0</v>
      </c>
      <c r="U82" s="911" t="e">
        <f t="shared" si="15"/>
        <v>#DIV/0!</v>
      </c>
      <c r="V82" s="857"/>
      <c r="W82" s="324"/>
      <c r="X82" s="1368"/>
      <c r="Y82" s="1343" t="s">
        <v>35</v>
      </c>
      <c r="Z82" s="1283">
        <f t="shared" ref="Z82:AK84" si="22">IF(MONTH($Z$76)&gt;=MONTH(Z$78),Z92,"")</f>
        <v>38826.251039312097</v>
      </c>
      <c r="AA82" s="1283">
        <f t="shared" si="22"/>
        <v>35032.41703393207</v>
      </c>
      <c r="AB82" s="1283">
        <f t="shared" si="22"/>
        <v>38826.251039312097</v>
      </c>
      <c r="AC82" s="1283">
        <f t="shared" si="22"/>
        <v>37561.639704185422</v>
      </c>
      <c r="AD82" s="1283">
        <f t="shared" si="22"/>
        <v>36722.739115537035</v>
      </c>
      <c r="AE82" s="1283">
        <f t="shared" si="22"/>
        <v>38492.805698805401</v>
      </c>
      <c r="AF82" s="1283">
        <f t="shared" si="22"/>
        <v>38826.251039312097</v>
      </c>
      <c r="AG82" s="1283">
        <f t="shared" si="22"/>
        <v>38826.251039312097</v>
      </c>
      <c r="AH82" s="1283">
        <f t="shared" si="22"/>
        <v>35458.127780410359</v>
      </c>
      <c r="AI82" s="1283">
        <f t="shared" si="22"/>
        <v>38826.251039312097</v>
      </c>
      <c r="AJ82" s="1283">
        <f t="shared" si="22"/>
        <v>37562.712924554697</v>
      </c>
      <c r="AK82" s="1283">
        <f t="shared" si="22"/>
        <v>38826.251039312097</v>
      </c>
      <c r="AL82" s="1413">
        <f t="shared" si="20"/>
        <v>453787.94849329756</v>
      </c>
      <c r="AM82" s="1408"/>
      <c r="AN82" s="293"/>
      <c r="AO82" s="1406"/>
      <c r="AP82" s="1405"/>
      <c r="AQ82" s="1405"/>
      <c r="AR82" s="1405"/>
      <c r="AS82" s="1405"/>
      <c r="AT82" s="1405"/>
      <c r="AU82" s="1405"/>
      <c r="AV82" s="1405"/>
      <c r="AW82" s="1405"/>
      <c r="AX82" s="1405"/>
      <c r="AY82" s="1405"/>
      <c r="AZ82" s="1405"/>
      <c r="BA82" s="1405"/>
      <c r="BB82" s="1405"/>
      <c r="BC82" s="1405"/>
      <c r="BD82" s="1405"/>
      <c r="BE82" s="1405"/>
      <c r="BF82" s="1405"/>
      <c r="BG82" s="1405"/>
      <c r="BH82" s="1405"/>
      <c r="BI82" s="1405"/>
      <c r="BJ82" s="1405"/>
      <c r="BK82" s="1405"/>
      <c r="BL82" s="1405"/>
      <c r="BM82" s="1405"/>
      <c r="BN82" s="1405"/>
      <c r="BO82" s="1405"/>
      <c r="BP82" s="1405"/>
      <c r="BQ82" s="1405"/>
      <c r="BR82" s="1405"/>
      <c r="BS82" s="1405"/>
      <c r="BT82" s="1405"/>
      <c r="BU82" s="1405"/>
      <c r="BV82" s="1405"/>
      <c r="BW82" s="1405"/>
      <c r="BX82" s="1405"/>
      <c r="BY82" s="1405"/>
      <c r="BZ82" s="1405"/>
      <c r="CA82" s="1405"/>
      <c r="CB82" s="1405"/>
      <c r="CC82" s="1405"/>
      <c r="CD82" s="1405"/>
      <c r="CE82" s="1405"/>
      <c r="CF82" s="1405"/>
      <c r="CG82" s="1405"/>
      <c r="CH82" s="1405"/>
      <c r="CI82" s="1405"/>
      <c r="CJ82" s="1405"/>
      <c r="CK82" s="1405"/>
      <c r="CL82" s="1405"/>
      <c r="CM82" s="1405"/>
      <c r="CN82" s="1405"/>
      <c r="CO82" s="1405"/>
    </row>
    <row r="83" spans="1:93" ht="15.75">
      <c r="A83" s="297" t="s">
        <v>631</v>
      </c>
      <c r="B83" s="907" t="s">
        <v>39</v>
      </c>
      <c r="C83" s="914" t="s">
        <v>409</v>
      </c>
      <c r="D83" s="909">
        <f t="shared" si="12"/>
        <v>4388232.9283623295</v>
      </c>
      <c r="E83" s="859">
        <f t="shared" si="16"/>
        <v>51103143.790512294</v>
      </c>
      <c r="F83" s="925">
        <f>LOOKUP($H$4,YearUpdate,BillPWR)</f>
        <v>4437580</v>
      </c>
      <c r="G83" s="926"/>
      <c r="H83" s="937">
        <f>-LOOKUP($H$4,YearUpdate,PWR_PHI)</f>
        <v>-30653</v>
      </c>
      <c r="I83" s="927">
        <f t="shared" si="17"/>
        <v>4406927</v>
      </c>
      <c r="J83" s="930">
        <f>'Year 2019 Summary '!O72-'Year 2019 Summary '!O77</f>
        <v>51511926.693192437</v>
      </c>
      <c r="K83" s="925">
        <f>LOOKUP($H$4,YearUpdate,OPEX_PWR)</f>
        <v>4079673</v>
      </c>
      <c r="L83" s="916">
        <f>'Year 2019 Summary '!O73</f>
        <v>50306522.005361184</v>
      </c>
      <c r="M83" s="910">
        <f t="shared" si="13"/>
        <v>322.47422370754936</v>
      </c>
      <c r="N83" s="911">
        <f>L83/U31</f>
        <v>296.75767907158144</v>
      </c>
      <c r="O83" s="912">
        <f>'Year 2019 Summary '!P114</f>
        <v>288.21621999717598</v>
      </c>
      <c r="P83" s="925">
        <f>LOOKUP($H$4,YearUpdate,OPSDPW)</f>
        <v>0</v>
      </c>
      <c r="Q83" s="916">
        <f>'Year 2019 Summary '!O75</f>
        <v>275151</v>
      </c>
      <c r="R83" s="931">
        <f>LOOKUP($H$4,YearUpdate,CPTAPWR)</f>
        <v>0</v>
      </c>
      <c r="S83" s="916">
        <f>'Year 2019 Summary '!O74</f>
        <v>0</v>
      </c>
      <c r="T83" s="910">
        <f t="shared" si="14"/>
        <v>0</v>
      </c>
      <c r="U83" s="911" t="e">
        <f t="shared" si="15"/>
        <v>#DIV/0!</v>
      </c>
      <c r="V83" s="857"/>
      <c r="W83" s="324"/>
      <c r="X83" s="1368"/>
      <c r="Y83" s="1343" t="s">
        <v>37</v>
      </c>
      <c r="Z83" s="1283">
        <f t="shared" si="22"/>
        <v>549866.25094964274</v>
      </c>
      <c r="AA83" s="1283">
        <f t="shared" si="22"/>
        <v>496137.10570841463</v>
      </c>
      <c r="AB83" s="1283">
        <f t="shared" si="22"/>
        <v>549866.25094964274</v>
      </c>
      <c r="AC83" s="1283">
        <f t="shared" si="22"/>
        <v>531956.53586923331</v>
      </c>
      <c r="AD83" s="1283">
        <f t="shared" si="22"/>
        <v>520075.8337861895</v>
      </c>
      <c r="AE83" s="1283">
        <f t="shared" si="22"/>
        <v>532917.39062800526</v>
      </c>
      <c r="AF83" s="1283">
        <f t="shared" si="22"/>
        <v>549866.25094964274</v>
      </c>
      <c r="AG83" s="1283">
        <f t="shared" si="22"/>
        <v>549866.25094964274</v>
      </c>
      <c r="AH83" s="1283">
        <f t="shared" si="22"/>
        <v>502166.11870578013</v>
      </c>
      <c r="AI83" s="1283">
        <f t="shared" si="22"/>
        <v>549866.25094964274</v>
      </c>
      <c r="AJ83" s="1283">
        <f t="shared" si="22"/>
        <v>531971.73506166367</v>
      </c>
      <c r="AK83" s="1283">
        <f t="shared" si="22"/>
        <v>549866.25094964274</v>
      </c>
      <c r="AL83" s="1413">
        <f t="shared" si="20"/>
        <v>6414422.2254571421</v>
      </c>
      <c r="AM83" s="1408"/>
      <c r="AN83" s="293"/>
      <c r="AO83" s="1406"/>
      <c r="AP83" s="1405"/>
      <c r="AQ83" s="1405"/>
      <c r="AR83" s="1405"/>
      <c r="AS83" s="1405"/>
      <c r="AT83" s="1405"/>
      <c r="AU83" s="1405"/>
      <c r="AV83" s="1405"/>
      <c r="AW83" s="1405"/>
      <c r="AX83" s="1405"/>
      <c r="AY83" s="1405"/>
      <c r="AZ83" s="1405"/>
      <c r="BA83" s="1405"/>
      <c r="BB83" s="1405"/>
      <c r="BC83" s="1405"/>
      <c r="BD83" s="1405"/>
      <c r="BE83" s="1405"/>
      <c r="BF83" s="1405"/>
      <c r="BG83" s="1405"/>
      <c r="BH83" s="1405"/>
      <c r="BI83" s="1405"/>
      <c r="BJ83" s="1405"/>
      <c r="BK83" s="1405"/>
      <c r="BL83" s="1405"/>
      <c r="BM83" s="1405"/>
      <c r="BN83" s="1405"/>
      <c r="BO83" s="1405"/>
      <c r="BP83" s="1405"/>
      <c r="BQ83" s="1405"/>
      <c r="BR83" s="1405"/>
      <c r="BS83" s="1405"/>
      <c r="BT83" s="1405"/>
      <c r="BU83" s="1405"/>
      <c r="BV83" s="1405"/>
      <c r="BW83" s="1405"/>
      <c r="BX83" s="1405"/>
      <c r="BY83" s="1405"/>
      <c r="BZ83" s="1405"/>
      <c r="CA83" s="1405"/>
      <c r="CB83" s="1405"/>
      <c r="CC83" s="1405"/>
      <c r="CD83" s="1405"/>
      <c r="CE83" s="1405"/>
      <c r="CF83" s="1405"/>
      <c r="CG83" s="1405"/>
      <c r="CH83" s="1405"/>
      <c r="CI83" s="1405"/>
      <c r="CJ83" s="1405"/>
      <c r="CK83" s="1405"/>
      <c r="CL83" s="1405"/>
      <c r="CM83" s="1405"/>
      <c r="CN83" s="1405"/>
      <c r="CO83" s="1405"/>
    </row>
    <row r="84" spans="1:93" ht="15.75">
      <c r="A84" s="297"/>
      <c r="B84" s="316"/>
      <c r="C84" s="316"/>
      <c r="D84" s="356"/>
      <c r="E84" s="357"/>
      <c r="F84" s="656"/>
      <c r="G84" s="657"/>
      <c r="H84" s="358"/>
      <c r="I84" s="315"/>
      <c r="J84" s="301"/>
      <c r="K84" s="301"/>
      <c r="L84" s="359"/>
      <c r="M84" s="359"/>
      <c r="N84" s="359"/>
      <c r="O84" s="303"/>
      <c r="P84" s="654"/>
      <c r="Q84" s="655"/>
      <c r="R84" s="301"/>
      <c r="S84" s="41"/>
      <c r="T84" s="41"/>
      <c r="U84" s="41"/>
      <c r="V84" s="857"/>
      <c r="W84" s="324"/>
      <c r="X84" s="1368"/>
      <c r="Y84" s="1343" t="s">
        <v>39</v>
      </c>
      <c r="Z84" s="1283">
        <f t="shared" si="22"/>
        <v>4388232.9283623295</v>
      </c>
      <c r="AA84" s="1283">
        <f t="shared" si="22"/>
        <v>3959445.0113859302</v>
      </c>
      <c r="AB84" s="1283">
        <f t="shared" si="22"/>
        <v>4388232.9283623295</v>
      </c>
      <c r="AC84" s="1283">
        <f t="shared" si="22"/>
        <v>4245303.622703529</v>
      </c>
      <c r="AD84" s="1283">
        <f t="shared" si="22"/>
        <v>4150489.1328110583</v>
      </c>
      <c r="AE84" s="1283">
        <f t="shared" si="22"/>
        <v>4165523.7057271306</v>
      </c>
      <c r="AF84" s="1283">
        <f t="shared" si="22"/>
        <v>4388232.9283623295</v>
      </c>
      <c r="AG84" s="1283">
        <f t="shared" si="22"/>
        <v>4388232.9283623295</v>
      </c>
      <c r="AH84" s="1283">
        <f t="shared" si="22"/>
        <v>4007559.8271522587</v>
      </c>
      <c r="AI84" s="1283">
        <f t="shared" si="22"/>
        <v>4388232.9283623295</v>
      </c>
      <c r="AJ84" s="1283">
        <f t="shared" si="22"/>
        <v>4245424.9205584023</v>
      </c>
      <c r="AK84" s="1283">
        <f t="shared" si="22"/>
        <v>4388232.9283623295</v>
      </c>
      <c r="AL84" s="1413">
        <f t="shared" si="20"/>
        <v>51103143.790512294</v>
      </c>
      <c r="AM84" s="1408"/>
      <c r="AN84" s="293"/>
      <c r="AO84" s="1405"/>
      <c r="AP84" s="1405"/>
      <c r="AQ84" s="1405"/>
      <c r="AR84" s="1405"/>
      <c r="AS84" s="1405"/>
      <c r="AT84" s="1405"/>
      <c r="AU84" s="1405"/>
      <c r="AV84" s="1405"/>
      <c r="AW84" s="1405"/>
      <c r="AX84" s="1405"/>
      <c r="AY84" s="1405"/>
      <c r="AZ84" s="1405"/>
      <c r="BA84" s="1405"/>
      <c r="BB84" s="1405"/>
      <c r="BC84" s="1405"/>
      <c r="BD84" s="1405"/>
      <c r="BE84" s="1405"/>
      <c r="BF84" s="1405"/>
      <c r="BG84" s="1405"/>
      <c r="BH84" s="1405"/>
      <c r="BI84" s="1405"/>
      <c r="BJ84" s="1405"/>
      <c r="BK84" s="1405"/>
      <c r="BL84" s="1405"/>
      <c r="BM84" s="1405"/>
      <c r="BN84" s="1405"/>
      <c r="BO84" s="1405"/>
      <c r="BP84" s="1405"/>
      <c r="BQ84" s="1405"/>
      <c r="BR84" s="1405"/>
      <c r="BS84" s="1405"/>
      <c r="BT84" s="1405"/>
      <c r="BU84" s="1405"/>
      <c r="BV84" s="1405"/>
      <c r="BW84" s="1405"/>
      <c r="BX84" s="1405"/>
      <c r="BY84" s="1405"/>
      <c r="BZ84" s="1405"/>
      <c r="CA84" s="1405"/>
      <c r="CB84" s="1405"/>
      <c r="CC84" s="1405"/>
      <c r="CD84" s="1405"/>
      <c r="CE84" s="1405"/>
      <c r="CF84" s="1405"/>
      <c r="CG84" s="1405"/>
      <c r="CH84" s="1405"/>
      <c r="CI84" s="1405"/>
      <c r="CJ84" s="1405"/>
      <c r="CK84" s="1405"/>
      <c r="CL84" s="1405"/>
      <c r="CM84" s="1405"/>
      <c r="CN84" s="1405"/>
      <c r="CO84" s="1405"/>
    </row>
    <row r="85" spans="1:93" ht="15.75">
      <c r="A85" s="297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324"/>
      <c r="X85" s="1368"/>
      <c r="Y85" s="1339"/>
      <c r="Z85" s="1389"/>
      <c r="AA85" s="1389"/>
      <c r="AB85" s="1389"/>
      <c r="AC85" s="1389"/>
      <c r="AD85" s="1389"/>
      <c r="AE85" s="1389"/>
      <c r="AF85" s="1389"/>
      <c r="AG85" s="1389"/>
      <c r="AH85" s="1389"/>
      <c r="AI85" s="1389"/>
      <c r="AJ85" s="1389"/>
      <c r="AK85" s="1389"/>
      <c r="AL85" s="1414"/>
      <c r="AM85" s="1389"/>
      <c r="AN85" s="293"/>
      <c r="AO85" s="1405"/>
      <c r="AP85" s="1405"/>
      <c r="AQ85" s="1405"/>
      <c r="AR85" s="1405"/>
      <c r="AS85" s="1405"/>
      <c r="AT85" s="1405"/>
      <c r="AU85" s="1405"/>
      <c r="AV85" s="1405"/>
      <c r="AW85" s="1405"/>
      <c r="AX85" s="1405"/>
      <c r="AY85" s="1405"/>
      <c r="AZ85" s="1405"/>
      <c r="BA85" s="1405"/>
      <c r="BB85" s="1405"/>
      <c r="BC85" s="1405"/>
      <c r="BD85" s="1405"/>
      <c r="BE85" s="1405"/>
      <c r="BF85" s="1405"/>
      <c r="BG85" s="1405"/>
      <c r="BH85" s="1405"/>
      <c r="BI85" s="1405"/>
      <c r="BJ85" s="1405"/>
      <c r="BK85" s="1405"/>
      <c r="BL85" s="1405"/>
      <c r="BM85" s="1405"/>
      <c r="BN85" s="1405"/>
      <c r="BO85" s="1405"/>
      <c r="BP85" s="1405"/>
      <c r="BQ85" s="1405"/>
      <c r="BR85" s="1405"/>
      <c r="BS85" s="1405"/>
      <c r="BT85" s="1405"/>
      <c r="BU85" s="1405"/>
      <c r="BV85" s="1405"/>
      <c r="BW85" s="1405"/>
      <c r="BX85" s="1405"/>
      <c r="BY85" s="1405"/>
      <c r="BZ85" s="1405"/>
      <c r="CA85" s="1405"/>
      <c r="CB85" s="1405"/>
      <c r="CC85" s="1405"/>
      <c r="CD85" s="1405"/>
      <c r="CE85" s="1405"/>
      <c r="CF85" s="1405"/>
      <c r="CG85" s="1405"/>
      <c r="CH85" s="1405"/>
      <c r="CI85" s="1405"/>
      <c r="CJ85" s="1405"/>
      <c r="CK85" s="1405"/>
      <c r="CL85" s="1405"/>
      <c r="CM85" s="1405"/>
      <c r="CN85" s="1405"/>
      <c r="CO85" s="1405"/>
    </row>
    <row r="86" spans="1:93" ht="15.75">
      <c r="A86" s="297"/>
      <c r="B86" s="316"/>
      <c r="C86" s="316"/>
      <c r="D86" s="356"/>
      <c r="E86" s="357"/>
      <c r="F86" s="358"/>
      <c r="G86" s="315"/>
      <c r="H86" s="301"/>
      <c r="I86" s="301"/>
      <c r="J86" s="359"/>
      <c r="K86" s="1181"/>
      <c r="L86" s="355"/>
      <c r="M86" s="355"/>
      <c r="N86" s="355"/>
      <c r="O86" s="355"/>
      <c r="P86" s="355"/>
      <c r="Q86" s="355"/>
      <c r="R86" s="309"/>
      <c r="S86" s="309"/>
      <c r="T86" s="310"/>
      <c r="U86" s="310"/>
      <c r="V86" s="299"/>
      <c r="W86" s="324"/>
      <c r="X86" s="1368"/>
      <c r="Y86" s="1339"/>
      <c r="Z86" s="1337" t="s">
        <v>623</v>
      </c>
      <c r="AA86" s="1333"/>
      <c r="AB86" s="1333"/>
      <c r="AC86" s="1333"/>
      <c r="AD86" s="1333"/>
      <c r="AE86" s="1333"/>
      <c r="AF86" s="1333"/>
      <c r="AG86" s="1333"/>
      <c r="AH86" s="1333"/>
      <c r="AI86" s="1333"/>
      <c r="AJ86" s="1333"/>
      <c r="AK86" s="1333"/>
      <c r="AL86" s="1340"/>
      <c r="AM86" s="1408"/>
      <c r="AN86" s="293"/>
      <c r="AO86" s="1405"/>
      <c r="AP86" s="1405"/>
      <c r="AQ86" s="1405"/>
      <c r="AR86" s="1405"/>
      <c r="AS86" s="1405"/>
      <c r="AT86" s="1405"/>
      <c r="AU86" s="1405"/>
      <c r="AV86" s="1405"/>
      <c r="AW86" s="1405"/>
      <c r="AX86" s="1405"/>
      <c r="AY86" s="1405"/>
      <c r="AZ86" s="1405"/>
      <c r="BA86" s="1405"/>
      <c r="BB86" s="1405"/>
      <c r="BC86" s="1405"/>
      <c r="BD86" s="1405"/>
      <c r="BE86" s="1405"/>
      <c r="BF86" s="1405"/>
      <c r="BG86" s="1405"/>
      <c r="BH86" s="1405"/>
      <c r="BI86" s="1405"/>
      <c r="BJ86" s="1405"/>
      <c r="BK86" s="1405"/>
      <c r="BL86" s="1405"/>
      <c r="BM86" s="1405"/>
      <c r="BN86" s="1405"/>
      <c r="BO86" s="1405"/>
      <c r="BP86" s="1405"/>
      <c r="BQ86" s="1405"/>
      <c r="BR86" s="1405"/>
      <c r="BS86" s="1405"/>
      <c r="BT86" s="1405"/>
      <c r="BU86" s="1405"/>
      <c r="BV86" s="1405"/>
      <c r="BW86" s="1405"/>
      <c r="BX86" s="1405"/>
      <c r="BY86" s="1405"/>
      <c r="BZ86" s="1405"/>
      <c r="CA86" s="1405"/>
      <c r="CB86" s="1405"/>
      <c r="CC86" s="1405"/>
      <c r="CD86" s="1405"/>
      <c r="CE86" s="1405"/>
      <c r="CF86" s="1405"/>
      <c r="CG86" s="1405"/>
      <c r="CH86" s="1405"/>
      <c r="CI86" s="1405"/>
      <c r="CJ86" s="1405"/>
      <c r="CK86" s="1405"/>
      <c r="CL86" s="1405"/>
      <c r="CM86" s="1405"/>
      <c r="CN86" s="1405"/>
      <c r="CO86" s="1405"/>
    </row>
    <row r="87" spans="1:93" ht="18.75">
      <c r="A87" s="297"/>
      <c r="B87" s="6" t="s">
        <v>407</v>
      </c>
      <c r="C87" s="10"/>
      <c r="D87" s="11"/>
      <c r="E87" s="357"/>
      <c r="F87" s="358"/>
      <c r="G87" s="315"/>
      <c r="H87" s="301"/>
      <c r="I87" s="301"/>
      <c r="J87" s="1322"/>
      <c r="K87" s="1323"/>
      <c r="L87" s="1324"/>
      <c r="M87" s="1324"/>
      <c r="N87" s="355"/>
      <c r="O87" s="355"/>
      <c r="P87" s="355"/>
      <c r="Q87" s="355"/>
      <c r="R87" s="309"/>
      <c r="S87" s="309"/>
      <c r="T87" s="310"/>
      <c r="U87" s="310"/>
      <c r="V87" s="304"/>
      <c r="W87" s="324"/>
      <c r="X87" s="1368"/>
      <c r="Y87" s="1339"/>
      <c r="Z87" s="1282">
        <f>Z78</f>
        <v>43466</v>
      </c>
      <c r="AA87" s="1282">
        <f t="shared" ref="AA87:AK87" si="23">AA78</f>
        <v>43497</v>
      </c>
      <c r="AB87" s="1282">
        <f t="shared" si="23"/>
        <v>43525</v>
      </c>
      <c r="AC87" s="1282">
        <f t="shared" si="23"/>
        <v>43556</v>
      </c>
      <c r="AD87" s="1282">
        <f t="shared" si="23"/>
        <v>43586</v>
      </c>
      <c r="AE87" s="1282">
        <f t="shared" si="23"/>
        <v>43617</v>
      </c>
      <c r="AF87" s="1282">
        <f t="shared" si="23"/>
        <v>43647</v>
      </c>
      <c r="AG87" s="1282">
        <f t="shared" si="23"/>
        <v>43678</v>
      </c>
      <c r="AH87" s="1282">
        <f t="shared" si="23"/>
        <v>43709</v>
      </c>
      <c r="AI87" s="1282">
        <f t="shared" si="23"/>
        <v>43739</v>
      </c>
      <c r="AJ87" s="1282">
        <f t="shared" si="23"/>
        <v>43770</v>
      </c>
      <c r="AK87" s="1282">
        <f t="shared" si="23"/>
        <v>43800</v>
      </c>
      <c r="AL87" s="1340"/>
      <c r="AM87" s="1408"/>
      <c r="AN87" s="293"/>
      <c r="AO87" s="1405"/>
      <c r="AP87" s="1405"/>
      <c r="AQ87" s="1405"/>
      <c r="AR87" s="1405"/>
      <c r="AS87" s="1405"/>
      <c r="AT87" s="1405"/>
      <c r="AU87" s="1405"/>
      <c r="AV87" s="1405"/>
      <c r="AW87" s="1405"/>
      <c r="AX87" s="1405"/>
      <c r="AY87" s="1405"/>
      <c r="AZ87" s="1405"/>
      <c r="BA87" s="1405"/>
      <c r="BB87" s="1405"/>
      <c r="BC87" s="1405"/>
      <c r="BD87" s="1405"/>
      <c r="BE87" s="1405"/>
      <c r="BF87" s="1405"/>
      <c r="BG87" s="1405"/>
      <c r="BH87" s="1405"/>
      <c r="BI87" s="1405"/>
      <c r="BJ87" s="1405"/>
      <c r="BK87" s="1405"/>
      <c r="BL87" s="1405"/>
      <c r="BM87" s="1405"/>
      <c r="BN87" s="1405"/>
      <c r="BO87" s="1405"/>
      <c r="BP87" s="1405"/>
      <c r="BQ87" s="1405"/>
      <c r="BR87" s="1405"/>
      <c r="BS87" s="1405"/>
      <c r="BT87" s="1405"/>
      <c r="BU87" s="1405"/>
      <c r="BV87" s="1405"/>
      <c r="BW87" s="1405"/>
      <c r="BX87" s="1405"/>
      <c r="BY87" s="1405"/>
      <c r="BZ87" s="1405"/>
      <c r="CA87" s="1405"/>
      <c r="CB87" s="1405"/>
      <c r="CC87" s="1405"/>
      <c r="CD87" s="1405"/>
      <c r="CE87" s="1405"/>
      <c r="CF87" s="1405"/>
      <c r="CG87" s="1405"/>
      <c r="CH87" s="1405"/>
      <c r="CI87" s="1405"/>
      <c r="CJ87" s="1405"/>
      <c r="CK87" s="1405"/>
      <c r="CL87" s="1405"/>
      <c r="CM87" s="1405"/>
      <c r="CN87" s="1405"/>
      <c r="CO87" s="1405"/>
    </row>
    <row r="88" spans="1:93" ht="15.75">
      <c r="A88" s="297"/>
      <c r="B88" s="520" t="s">
        <v>290</v>
      </c>
      <c r="C88" s="520" t="s">
        <v>291</v>
      </c>
      <c r="D88" s="520" t="s">
        <v>3</v>
      </c>
      <c r="E88" s="520" t="s">
        <v>224</v>
      </c>
      <c r="F88" s="1297" t="s">
        <v>596</v>
      </c>
      <c r="G88" s="1323"/>
      <c r="H88" s="1531"/>
      <c r="I88" s="1324"/>
      <c r="J88" s="1325"/>
      <c r="K88" s="355"/>
      <c r="L88" s="355"/>
      <c r="M88" s="355"/>
      <c r="N88" s="309"/>
      <c r="O88" s="309"/>
      <c r="P88" s="310"/>
      <c r="Q88" s="310"/>
      <c r="R88" s="304"/>
      <c r="S88" s="299"/>
      <c r="T88" s="299"/>
      <c r="V88" s="304"/>
      <c r="W88" s="324"/>
      <c r="X88" s="1368"/>
      <c r="Y88" s="1343" t="s">
        <v>32</v>
      </c>
      <c r="Z88" s="1338">
        <v>38574.865819275663</v>
      </c>
      <c r="AA88" s="1338">
        <v>34805.595447280131</v>
      </c>
      <c r="AB88" s="1338">
        <v>38574.865819275663</v>
      </c>
      <c r="AC88" s="1338">
        <v>37318.442361943817</v>
      </c>
      <c r="AD88" s="1338">
        <v>36484.973335792987</v>
      </c>
      <c r="AE88" s="1338">
        <v>35685.171989948292</v>
      </c>
      <c r="AF88" s="1338">
        <v>38574.865819275663</v>
      </c>
      <c r="AG88" s="1338">
        <v>38574.865819275663</v>
      </c>
      <c r="AH88" s="1338">
        <v>35228.549878461148</v>
      </c>
      <c r="AI88" s="1338">
        <v>38574.865819275663</v>
      </c>
      <c r="AJ88" s="1338">
        <v>37319.508633619058</v>
      </c>
      <c r="AK88" s="1338">
        <v>38574.865819275663</v>
      </c>
      <c r="AL88" s="1340"/>
      <c r="AM88" s="1408"/>
      <c r="AN88" s="293"/>
      <c r="AO88" s="1405"/>
      <c r="AP88" s="1405"/>
      <c r="AQ88" s="1405"/>
      <c r="AR88" s="1405"/>
      <c r="AS88" s="1405"/>
      <c r="AT88" s="1405"/>
      <c r="AU88" s="1405"/>
      <c r="AV88" s="1405"/>
      <c r="AW88" s="1405"/>
      <c r="AX88" s="1405"/>
      <c r="AY88" s="1405"/>
      <c r="AZ88" s="1405"/>
      <c r="BA88" s="1405"/>
      <c r="BB88" s="1405"/>
      <c r="BC88" s="1405"/>
      <c r="BD88" s="1405"/>
      <c r="BE88" s="1405"/>
      <c r="BF88" s="1405"/>
      <c r="BG88" s="1405"/>
      <c r="BH88" s="1405"/>
      <c r="BI88" s="1405"/>
      <c r="BJ88" s="1405"/>
      <c r="BK88" s="1405"/>
      <c r="BL88" s="1405"/>
      <c r="BM88" s="1405"/>
      <c r="BN88" s="1405"/>
      <c r="BO88" s="1405"/>
      <c r="BP88" s="1405"/>
      <c r="BQ88" s="1405"/>
      <c r="BR88" s="1405"/>
      <c r="BS88" s="1405"/>
      <c r="BT88" s="1405"/>
      <c r="BU88" s="1405"/>
      <c r="BV88" s="1405"/>
      <c r="BW88" s="1405"/>
      <c r="BX88" s="1405"/>
      <c r="BY88" s="1405"/>
      <c r="BZ88" s="1405"/>
      <c r="CA88" s="1405"/>
      <c r="CB88" s="1405"/>
      <c r="CC88" s="1405"/>
      <c r="CD88" s="1405"/>
      <c r="CE88" s="1405"/>
      <c r="CF88" s="1405"/>
      <c r="CG88" s="1405"/>
      <c r="CH88" s="1405"/>
      <c r="CI88" s="1405"/>
      <c r="CJ88" s="1405"/>
      <c r="CK88" s="1405"/>
      <c r="CL88" s="1405"/>
      <c r="CM88" s="1405"/>
      <c r="CN88" s="1405"/>
      <c r="CO88" s="1405"/>
    </row>
    <row r="89" spans="1:93" ht="15.75">
      <c r="A89" s="297"/>
      <c r="B89" s="16" t="s">
        <v>222</v>
      </c>
      <c r="C89" s="17" t="s">
        <v>9</v>
      </c>
      <c r="D89" s="18">
        <v>2761.281162953132</v>
      </c>
      <c r="E89" s="1401">
        <v>3053.3360808487487</v>
      </c>
      <c r="F89" s="18">
        <f>D89-E89</f>
        <v>-292.05491789561665</v>
      </c>
      <c r="G89" s="1499"/>
      <c r="H89" s="1530"/>
      <c r="I89" s="1324"/>
      <c r="J89" s="1325"/>
      <c r="L89" s="355"/>
      <c r="M89" s="355"/>
      <c r="N89" s="309"/>
      <c r="O89" s="309"/>
      <c r="P89" s="310"/>
      <c r="Q89" s="310"/>
      <c r="R89" s="304"/>
      <c r="S89" s="299"/>
      <c r="T89" s="299"/>
      <c r="V89" s="1284">
        <v>393.27210260877621</v>
      </c>
      <c r="W89" s="324"/>
      <c r="X89" s="1368"/>
      <c r="Y89" s="1343" t="s">
        <v>33</v>
      </c>
      <c r="Z89" s="1338">
        <v>45.676467428571435</v>
      </c>
      <c r="AA89" s="1338">
        <v>41.213277428571431</v>
      </c>
      <c r="AB89" s="1338">
        <v>45.676467428571435</v>
      </c>
      <c r="AC89" s="1338">
        <v>44.188737428571429</v>
      </c>
      <c r="AD89" s="1338">
        <v>43.201827428571434</v>
      </c>
      <c r="AE89" s="1338">
        <v>78.725547428571431</v>
      </c>
      <c r="AF89" s="1338">
        <v>45.676467428571435</v>
      </c>
      <c r="AG89" s="1338">
        <v>45.676467428571435</v>
      </c>
      <c r="AH89" s="1338">
        <v>41.714097428571435</v>
      </c>
      <c r="AI89" s="1338">
        <v>45.676467428571435</v>
      </c>
      <c r="AJ89" s="1338">
        <v>44.19</v>
      </c>
      <c r="AK89" s="1338">
        <v>45.676467428571435</v>
      </c>
      <c r="AL89" s="1340"/>
      <c r="AM89" s="1408"/>
      <c r="AN89" s="293"/>
      <c r="AO89" s="1405"/>
      <c r="AP89" s="1405"/>
      <c r="AQ89" s="1405"/>
      <c r="AR89" s="1405"/>
      <c r="AS89" s="1405"/>
      <c r="AT89" s="1405"/>
      <c r="AU89" s="1405"/>
      <c r="AV89" s="1405"/>
      <c r="AW89" s="1405"/>
      <c r="AX89" s="1405"/>
      <c r="AY89" s="1405"/>
      <c r="AZ89" s="1405"/>
      <c r="BA89" s="1405"/>
      <c r="BB89" s="1405"/>
      <c r="BC89" s="1405"/>
      <c r="BD89" s="1405"/>
      <c r="BE89" s="1405"/>
      <c r="BF89" s="1405"/>
      <c r="BG89" s="1405"/>
      <c r="BH89" s="1405"/>
      <c r="BI89" s="1405"/>
      <c r="BJ89" s="1405"/>
      <c r="BK89" s="1405"/>
      <c r="BL89" s="1405"/>
      <c r="BM89" s="1405"/>
      <c r="BN89" s="1405"/>
      <c r="BO89" s="1405"/>
      <c r="BP89" s="1405"/>
      <c r="BQ89" s="1405"/>
      <c r="BR89" s="1405"/>
      <c r="BS89" s="1405"/>
      <c r="BT89" s="1405"/>
      <c r="BU89" s="1405"/>
      <c r="BV89" s="1405"/>
      <c r="BW89" s="1405"/>
      <c r="BX89" s="1405"/>
      <c r="BY89" s="1405"/>
      <c r="BZ89" s="1405"/>
      <c r="CA89" s="1405"/>
      <c r="CB89" s="1405"/>
      <c r="CC89" s="1405"/>
      <c r="CD89" s="1405"/>
      <c r="CE89" s="1405"/>
      <c r="CF89" s="1405"/>
      <c r="CG89" s="1405"/>
      <c r="CH89" s="1405"/>
      <c r="CI89" s="1405"/>
      <c r="CJ89" s="1405"/>
      <c r="CK89" s="1405"/>
      <c r="CL89" s="1405"/>
      <c r="CM89" s="1405"/>
      <c r="CN89" s="1405"/>
      <c r="CO89" s="1405"/>
    </row>
    <row r="90" spans="1:93" ht="15.75">
      <c r="A90" s="297"/>
      <c r="B90" s="880" t="s">
        <v>223</v>
      </c>
      <c r="C90" s="533" t="s">
        <v>9</v>
      </c>
      <c r="D90" s="534">
        <v>240.27357184971333</v>
      </c>
      <c r="E90" s="1402">
        <v>255.62413584581327</v>
      </c>
      <c r="F90" s="534">
        <f>D90-E90</f>
        <v>-15.350563996099936</v>
      </c>
      <c r="G90" s="1323"/>
      <c r="H90" s="1324"/>
      <c r="I90" s="1324"/>
      <c r="J90" s="1325"/>
      <c r="K90" s="1327"/>
      <c r="L90" s="355"/>
      <c r="M90" s="355"/>
      <c r="N90" s="309"/>
      <c r="O90" s="309"/>
      <c r="P90" s="310"/>
      <c r="Q90" s="310"/>
      <c r="R90" s="304"/>
      <c r="S90" s="299"/>
      <c r="T90" s="299"/>
      <c r="V90" s="1284">
        <v>30.460704761904761</v>
      </c>
      <c r="W90" s="324"/>
      <c r="X90" s="1368"/>
      <c r="Y90" s="1343" t="s">
        <v>34</v>
      </c>
      <c r="Z90" s="1338">
        <v>113.59535723884078</v>
      </c>
      <c r="AA90" s="1338">
        <v>102.49560082121364</v>
      </c>
      <c r="AB90" s="1338">
        <v>113.59535723884078</v>
      </c>
      <c r="AC90" s="1338">
        <v>109.89543843296505</v>
      </c>
      <c r="AD90" s="1338">
        <v>107.4410368488693</v>
      </c>
      <c r="AE90" s="1338">
        <v>446.79568201533795</v>
      </c>
      <c r="AF90" s="1338">
        <v>113.59535723884078</v>
      </c>
      <c r="AG90" s="1338">
        <v>113.59535723884078</v>
      </c>
      <c r="AH90" s="1338">
        <v>103.74111804299359</v>
      </c>
      <c r="AI90" s="1338">
        <v>113.59535723884078</v>
      </c>
      <c r="AJ90" s="1338">
        <v>109.89857839234769</v>
      </c>
      <c r="AK90" s="1338">
        <v>113.59535723884078</v>
      </c>
      <c r="AL90" s="1340"/>
      <c r="AM90" s="1408"/>
      <c r="AN90" s="293"/>
      <c r="AO90" s="1405"/>
      <c r="AP90" s="1405"/>
      <c r="AQ90" s="1405"/>
      <c r="AR90" s="1405"/>
      <c r="AS90" s="1405"/>
      <c r="AT90" s="1405"/>
      <c r="AU90" s="1405"/>
      <c r="AV90" s="1405"/>
      <c r="AW90" s="1405"/>
      <c r="AX90" s="1405"/>
      <c r="AY90" s="1405"/>
      <c r="AZ90" s="1405"/>
      <c r="BA90" s="1405"/>
      <c r="BB90" s="1405"/>
      <c r="BC90" s="1405"/>
      <c r="BD90" s="1405"/>
      <c r="BE90" s="1405"/>
      <c r="BF90" s="1405"/>
      <c r="BG90" s="1405"/>
      <c r="BH90" s="1405"/>
      <c r="BI90" s="1405"/>
      <c r="BJ90" s="1405"/>
      <c r="BK90" s="1405"/>
      <c r="BL90" s="1405"/>
      <c r="BM90" s="1405"/>
      <c r="BN90" s="1405"/>
      <c r="BO90" s="1405"/>
      <c r="BP90" s="1405"/>
      <c r="BQ90" s="1405"/>
      <c r="BR90" s="1405"/>
      <c r="BS90" s="1405"/>
      <c r="BT90" s="1405"/>
      <c r="BU90" s="1405"/>
      <c r="BV90" s="1405"/>
      <c r="BW90" s="1405"/>
      <c r="BX90" s="1405"/>
      <c r="BY90" s="1405"/>
      <c r="BZ90" s="1405"/>
      <c r="CA90" s="1405"/>
      <c r="CB90" s="1405"/>
      <c r="CC90" s="1405"/>
      <c r="CD90" s="1405"/>
      <c r="CE90" s="1405"/>
      <c r="CF90" s="1405"/>
      <c r="CG90" s="1405"/>
      <c r="CH90" s="1405"/>
      <c r="CI90" s="1405"/>
      <c r="CJ90" s="1405"/>
      <c r="CK90" s="1405"/>
      <c r="CL90" s="1405"/>
      <c r="CM90" s="1405"/>
      <c r="CN90" s="1405"/>
      <c r="CO90" s="1405"/>
    </row>
    <row r="91" spans="1:93" ht="15.75">
      <c r="A91" s="297"/>
      <c r="B91" s="917" t="s">
        <v>106</v>
      </c>
      <c r="C91" s="917" t="s">
        <v>9</v>
      </c>
      <c r="D91" s="722">
        <f>SUM(D89:D90)</f>
        <v>3001.5547348028454</v>
      </c>
      <c r="E91" s="722">
        <f>SUM(E89:E90)</f>
        <v>3308.960216694562</v>
      </c>
      <c r="F91" s="1258"/>
      <c r="G91" s="1323"/>
      <c r="H91" s="1324"/>
      <c r="I91" s="1324"/>
      <c r="J91" s="1325"/>
      <c r="K91" s="1327"/>
      <c r="L91" s="355"/>
      <c r="M91" s="355"/>
      <c r="N91" s="309"/>
      <c r="O91" s="309"/>
      <c r="P91" s="310"/>
      <c r="Q91" s="310"/>
      <c r="R91" s="304"/>
      <c r="S91" s="299"/>
      <c r="T91" s="299"/>
      <c r="V91" s="1283"/>
      <c r="W91" s="324"/>
      <c r="X91" s="1368"/>
      <c r="Y91" s="1343" t="s">
        <v>36</v>
      </c>
      <c r="Z91" s="1283">
        <v>0</v>
      </c>
      <c r="AA91" s="1283">
        <v>0</v>
      </c>
      <c r="AB91" s="1283">
        <v>0</v>
      </c>
      <c r="AC91" s="1283">
        <v>0</v>
      </c>
      <c r="AD91" s="1283">
        <v>0</v>
      </c>
      <c r="AE91" s="1283">
        <v>0</v>
      </c>
      <c r="AF91" s="1283">
        <v>0</v>
      </c>
      <c r="AG91" s="1283">
        <v>0</v>
      </c>
      <c r="AH91" s="1283">
        <v>0</v>
      </c>
      <c r="AI91" s="1283">
        <v>0</v>
      </c>
      <c r="AJ91" s="1283">
        <v>0</v>
      </c>
      <c r="AK91" s="1283">
        <v>0</v>
      </c>
      <c r="AL91" s="1340"/>
      <c r="AM91" s="1408"/>
      <c r="AN91" s="293"/>
      <c r="AO91" s="1405"/>
      <c r="AP91" s="1405"/>
      <c r="AQ91" s="1405"/>
      <c r="AR91" s="1405"/>
      <c r="AS91" s="1405"/>
      <c r="AT91" s="1405"/>
      <c r="AU91" s="1405"/>
      <c r="AV91" s="1405"/>
      <c r="AW91" s="1405"/>
      <c r="AX91" s="1405"/>
      <c r="AY91" s="1405"/>
      <c r="AZ91" s="1405"/>
      <c r="BA91" s="1405"/>
      <c r="BB91" s="1405"/>
      <c r="BC91" s="1405"/>
      <c r="BD91" s="1405"/>
      <c r="BE91" s="1405"/>
      <c r="BF91" s="1405"/>
      <c r="BG91" s="1405"/>
      <c r="BH91" s="1405"/>
      <c r="BI91" s="1405"/>
      <c r="BJ91" s="1405"/>
      <c r="BK91" s="1405"/>
      <c r="BL91" s="1405"/>
      <c r="BM91" s="1405"/>
      <c r="BN91" s="1405"/>
      <c r="BO91" s="1405"/>
      <c r="BP91" s="1405"/>
      <c r="BQ91" s="1405"/>
      <c r="BR91" s="1405"/>
      <c r="BS91" s="1405"/>
      <c r="BT91" s="1405"/>
      <c r="BU91" s="1405"/>
      <c r="BV91" s="1405"/>
      <c r="BW91" s="1405"/>
      <c r="BX91" s="1405"/>
      <c r="BY91" s="1405"/>
      <c r="BZ91" s="1405"/>
      <c r="CA91" s="1405"/>
      <c r="CB91" s="1405"/>
      <c r="CC91" s="1405"/>
      <c r="CD91" s="1405"/>
      <c r="CE91" s="1405"/>
      <c r="CF91" s="1405"/>
      <c r="CG91" s="1405"/>
      <c r="CH91" s="1405"/>
      <c r="CI91" s="1405"/>
      <c r="CJ91" s="1405"/>
      <c r="CK91" s="1405"/>
      <c r="CL91" s="1405"/>
      <c r="CM91" s="1405"/>
      <c r="CN91" s="1405"/>
      <c r="CO91" s="1405"/>
    </row>
    <row r="92" spans="1:93" ht="15.75">
      <c r="A92" s="297"/>
      <c r="B92" s="299"/>
      <c r="C92" s="44"/>
      <c r="D92" s="45"/>
      <c r="E92" s="299"/>
      <c r="F92" s="299"/>
      <c r="G92" s="315"/>
      <c r="H92" s="938"/>
      <c r="I92" s="299"/>
      <c r="J92" s="299"/>
      <c r="K92" s="1181"/>
      <c r="L92" s="299"/>
      <c r="M92" s="299"/>
      <c r="N92" s="299"/>
      <c r="O92" s="299"/>
      <c r="P92" s="299"/>
      <c r="Q92" s="299"/>
      <c r="R92" s="299"/>
      <c r="S92" s="299"/>
      <c r="T92" s="299"/>
      <c r="U92" s="299"/>
      <c r="V92" s="1284">
        <v>42644.986666666649</v>
      </c>
      <c r="W92" s="324"/>
      <c r="X92" s="1368"/>
      <c r="Y92" s="1343" t="s">
        <v>35</v>
      </c>
      <c r="Z92" s="1338">
        <v>38826.251039312097</v>
      </c>
      <c r="AA92" s="1338">
        <v>35032.41703393207</v>
      </c>
      <c r="AB92" s="1338">
        <v>38826.251039312097</v>
      </c>
      <c r="AC92" s="1338">
        <v>37561.639704185422</v>
      </c>
      <c r="AD92" s="1338">
        <v>36722.739115537035</v>
      </c>
      <c r="AE92" s="1338">
        <v>38492.805698805401</v>
      </c>
      <c r="AF92" s="1338">
        <v>38826.251039312097</v>
      </c>
      <c r="AG92" s="1338">
        <v>38826.251039312097</v>
      </c>
      <c r="AH92" s="1338">
        <v>35458.127780410359</v>
      </c>
      <c r="AI92" s="1338">
        <v>38826.251039312097</v>
      </c>
      <c r="AJ92" s="1338">
        <v>37562.712924554697</v>
      </c>
      <c r="AK92" s="1338">
        <v>38826.251039312097</v>
      </c>
      <c r="AL92" s="1340"/>
      <c r="AM92" s="1408"/>
      <c r="AN92" s="293"/>
      <c r="AO92" s="1405"/>
      <c r="AP92" s="1405"/>
      <c r="AQ92" s="1405"/>
      <c r="AR92" s="1405"/>
      <c r="AS92" s="1405"/>
      <c r="AT92" s="1405"/>
      <c r="AU92" s="1405"/>
      <c r="AV92" s="1405"/>
      <c r="AW92" s="1405"/>
      <c r="AX92" s="1405"/>
      <c r="AY92" s="1405"/>
      <c r="AZ92" s="1405"/>
      <c r="BA92" s="1405"/>
      <c r="BB92" s="1405"/>
      <c r="BC92" s="1405"/>
      <c r="BD92" s="1405"/>
      <c r="BE92" s="1405"/>
      <c r="BF92" s="1405"/>
      <c r="BG92" s="1405"/>
      <c r="BH92" s="1405"/>
      <c r="BI92" s="1405"/>
      <c r="BJ92" s="1405"/>
      <c r="BK92" s="1405"/>
      <c r="BL92" s="1405"/>
      <c r="BM92" s="1405"/>
      <c r="BN92" s="1405"/>
      <c r="BO92" s="1405"/>
      <c r="BP92" s="1405"/>
      <c r="BQ92" s="1405"/>
      <c r="BR92" s="1405"/>
      <c r="BS92" s="1405"/>
      <c r="BT92" s="1405"/>
      <c r="BU92" s="1405"/>
      <c r="BV92" s="1405"/>
      <c r="BW92" s="1405"/>
      <c r="BX92" s="1405"/>
      <c r="BY92" s="1405"/>
      <c r="BZ92" s="1405"/>
      <c r="CA92" s="1405"/>
      <c r="CB92" s="1405"/>
      <c r="CC92" s="1405"/>
      <c r="CD92" s="1405"/>
      <c r="CE92" s="1405"/>
      <c r="CF92" s="1405"/>
      <c r="CG92" s="1405"/>
      <c r="CH92" s="1405"/>
      <c r="CI92" s="1405"/>
      <c r="CJ92" s="1405"/>
      <c r="CK92" s="1405"/>
      <c r="CL92" s="1405"/>
      <c r="CM92" s="1405"/>
      <c r="CN92" s="1405"/>
      <c r="CO92" s="1405"/>
    </row>
    <row r="93" spans="1:93" ht="15.75">
      <c r="A93" s="313"/>
      <c r="B93" s="314"/>
      <c r="C93" s="46"/>
      <c r="D93" s="47"/>
      <c r="E93" s="314"/>
      <c r="F93" s="314"/>
      <c r="G93" s="314"/>
      <c r="H93" s="1314"/>
      <c r="I93" s="314"/>
      <c r="J93" s="314"/>
      <c r="K93" s="314"/>
      <c r="L93" s="314"/>
      <c r="M93" s="314"/>
      <c r="N93" s="314"/>
      <c r="O93" s="314"/>
      <c r="P93" s="314"/>
      <c r="Q93" s="314"/>
      <c r="R93" s="314"/>
      <c r="S93" s="314"/>
      <c r="T93" s="314"/>
      <c r="U93" s="314"/>
      <c r="V93" s="299"/>
      <c r="W93" s="324"/>
      <c r="X93" s="1368"/>
      <c r="Y93" s="1343" t="s">
        <v>37</v>
      </c>
      <c r="Z93" s="1338">
        <v>549866.25094964274</v>
      </c>
      <c r="AA93" s="1338">
        <v>496137.10570841463</v>
      </c>
      <c r="AB93" s="1338">
        <v>549866.25094964274</v>
      </c>
      <c r="AC93" s="1338">
        <v>531956.53586923331</v>
      </c>
      <c r="AD93" s="1338">
        <v>520075.8337861895</v>
      </c>
      <c r="AE93" s="1338">
        <v>532917.39062800526</v>
      </c>
      <c r="AF93" s="1338">
        <v>549866.25094964274</v>
      </c>
      <c r="AG93" s="1338">
        <v>549866.25094964274</v>
      </c>
      <c r="AH93" s="1338">
        <v>502166.11870578013</v>
      </c>
      <c r="AI93" s="1338">
        <v>549866.25094964274</v>
      </c>
      <c r="AJ93" s="1338">
        <v>531971.73506166367</v>
      </c>
      <c r="AK93" s="1338">
        <v>549866.25094964274</v>
      </c>
      <c r="AL93" s="1340"/>
      <c r="AM93" s="1408"/>
      <c r="AN93" s="293"/>
      <c r="AO93" s="1405"/>
      <c r="AP93" s="1405"/>
      <c r="AQ93" s="1405"/>
      <c r="AR93" s="1405"/>
      <c r="AS93" s="1405"/>
      <c r="AT93" s="1405"/>
      <c r="AU93" s="1405"/>
      <c r="AV93" s="1405"/>
      <c r="AW93" s="1405"/>
      <c r="AX93" s="1405"/>
      <c r="AY93" s="1405"/>
      <c r="AZ93" s="1405"/>
      <c r="BA93" s="1405"/>
      <c r="BB93" s="1405"/>
      <c r="BC93" s="1405"/>
      <c r="BD93" s="1405"/>
      <c r="BE93" s="1405"/>
      <c r="BF93" s="1405"/>
      <c r="BG93" s="1405"/>
      <c r="BH93" s="1405"/>
      <c r="BI93" s="1405"/>
      <c r="BJ93" s="1405"/>
      <c r="BK93" s="1405"/>
      <c r="BL93" s="1405"/>
      <c r="BM93" s="1405"/>
      <c r="BN93" s="1405"/>
      <c r="BO93" s="1405"/>
      <c r="BP93" s="1405"/>
      <c r="BQ93" s="1405"/>
      <c r="BR93" s="1405"/>
      <c r="BS93" s="1405"/>
      <c r="BT93" s="1405"/>
      <c r="BU93" s="1405"/>
      <c r="BV93" s="1405"/>
      <c r="BW93" s="1405"/>
      <c r="BX93" s="1405"/>
      <c r="BY93" s="1405"/>
      <c r="BZ93" s="1405"/>
      <c r="CA93" s="1405"/>
      <c r="CB93" s="1405"/>
      <c r="CC93" s="1405"/>
      <c r="CD93" s="1405"/>
      <c r="CE93" s="1405"/>
      <c r="CF93" s="1405"/>
      <c r="CG93" s="1405"/>
      <c r="CH93" s="1405"/>
      <c r="CI93" s="1405"/>
      <c r="CJ93" s="1405"/>
      <c r="CK93" s="1405"/>
      <c r="CL93" s="1405"/>
      <c r="CM93" s="1405"/>
      <c r="CN93" s="1405"/>
      <c r="CO93" s="1405"/>
    </row>
    <row r="94" spans="1:93" ht="15.75">
      <c r="V94" s="314"/>
      <c r="W94" s="327"/>
      <c r="X94" s="1368"/>
      <c r="Y94" s="1343" t="s">
        <v>39</v>
      </c>
      <c r="Z94" s="1338">
        <v>4388232.9283623295</v>
      </c>
      <c r="AA94" s="1338">
        <v>3959445.0113859302</v>
      </c>
      <c r="AB94" s="1338">
        <v>4388232.9283623295</v>
      </c>
      <c r="AC94" s="1338">
        <v>4245303.622703529</v>
      </c>
      <c r="AD94" s="1338">
        <v>4150489.1328110583</v>
      </c>
      <c r="AE94" s="1338">
        <v>4165523.7057271306</v>
      </c>
      <c r="AF94" s="1338">
        <v>4388232.9283623295</v>
      </c>
      <c r="AG94" s="1338">
        <v>4388232.9283623295</v>
      </c>
      <c r="AH94" s="1338">
        <v>4007559.8271522587</v>
      </c>
      <c r="AI94" s="1338">
        <v>4388232.9283623295</v>
      </c>
      <c r="AJ94" s="1338">
        <v>4245424.9205584023</v>
      </c>
      <c r="AK94" s="1338">
        <v>4388232.9283623295</v>
      </c>
      <c r="AL94" s="1340"/>
      <c r="AM94" s="1408"/>
      <c r="AN94" s="293"/>
      <c r="AO94" s="1405"/>
      <c r="AP94" s="1405"/>
      <c r="AQ94" s="1405"/>
      <c r="AR94" s="1405"/>
      <c r="AS94" s="1405"/>
      <c r="AT94" s="1405"/>
      <c r="AU94" s="1405"/>
      <c r="AV94" s="1405"/>
      <c r="AW94" s="1405"/>
      <c r="AX94" s="1405"/>
      <c r="AY94" s="1405"/>
      <c r="AZ94" s="1405"/>
      <c r="BA94" s="1405"/>
      <c r="BB94" s="1405"/>
      <c r="BC94" s="1405"/>
      <c r="BD94" s="1405"/>
      <c r="BE94" s="1405"/>
      <c r="BF94" s="1405"/>
      <c r="BG94" s="1405"/>
      <c r="BH94" s="1405"/>
      <c r="BI94" s="1405"/>
      <c r="BJ94" s="1405"/>
      <c r="BK94" s="1405"/>
      <c r="BL94" s="1405"/>
      <c r="BM94" s="1405"/>
      <c r="BN94" s="1405"/>
      <c r="BO94" s="1405"/>
      <c r="BP94" s="1405"/>
      <c r="BQ94" s="1405"/>
      <c r="BR94" s="1405"/>
      <c r="BS94" s="1405"/>
      <c r="BT94" s="1405"/>
      <c r="BU94" s="1405"/>
      <c r="BV94" s="1405"/>
      <c r="BW94" s="1405"/>
      <c r="BX94" s="1405"/>
      <c r="BY94" s="1405"/>
      <c r="BZ94" s="1405"/>
      <c r="CA94" s="1405"/>
      <c r="CB94" s="1405"/>
      <c r="CC94" s="1405"/>
      <c r="CD94" s="1405"/>
      <c r="CE94" s="1405"/>
      <c r="CF94" s="1405"/>
      <c r="CG94" s="1405"/>
      <c r="CH94" s="1405"/>
      <c r="CI94" s="1405"/>
      <c r="CJ94" s="1405"/>
      <c r="CK94" s="1405"/>
      <c r="CL94" s="1405"/>
      <c r="CM94" s="1405"/>
      <c r="CN94" s="1405"/>
      <c r="CO94" s="1405"/>
    </row>
    <row r="95" spans="1:93" ht="16.5" thickBot="1">
      <c r="X95" s="1368"/>
      <c r="Y95" s="1415"/>
      <c r="Z95" s="1416"/>
      <c r="AA95" s="1416"/>
      <c r="AB95" s="1416"/>
      <c r="AC95" s="1416"/>
      <c r="AD95" s="1416"/>
      <c r="AE95" s="1416"/>
      <c r="AF95" s="1416"/>
      <c r="AG95" s="1416"/>
      <c r="AH95" s="1416"/>
      <c r="AI95" s="1416"/>
      <c r="AJ95" s="1417"/>
      <c r="AK95" s="1416"/>
      <c r="AL95" s="1418"/>
      <c r="AM95" s="1408"/>
      <c r="AN95" s="293"/>
      <c r="AO95" s="1405"/>
      <c r="AP95" s="1405"/>
      <c r="AQ95" s="1405"/>
      <c r="AR95" s="1405"/>
      <c r="AS95" s="1405"/>
      <c r="AT95" s="1405"/>
      <c r="AU95" s="1405"/>
      <c r="AV95" s="1405"/>
      <c r="AW95" s="1405"/>
      <c r="AX95" s="1405"/>
      <c r="AY95" s="1405"/>
      <c r="AZ95" s="1405"/>
      <c r="BA95" s="1405"/>
      <c r="BB95" s="1405"/>
      <c r="BC95" s="1405"/>
      <c r="BD95" s="1405"/>
      <c r="BE95" s="1405"/>
      <c r="BF95" s="1405"/>
      <c r="BG95" s="1405"/>
      <c r="BH95" s="1405"/>
      <c r="BI95" s="1405"/>
      <c r="BJ95" s="1405"/>
      <c r="BK95" s="1405"/>
      <c r="BL95" s="1405"/>
      <c r="BM95" s="1405"/>
      <c r="BN95" s="1405"/>
      <c r="BO95" s="1405"/>
      <c r="BP95" s="1405"/>
      <c r="BQ95" s="1405"/>
      <c r="BR95" s="1405"/>
      <c r="BS95" s="1405"/>
      <c r="BT95" s="1405"/>
      <c r="BU95" s="1405"/>
      <c r="BV95" s="1405"/>
      <c r="BW95" s="1405"/>
      <c r="BX95" s="1405"/>
      <c r="BY95" s="1405"/>
      <c r="BZ95" s="1405"/>
      <c r="CA95" s="1405"/>
      <c r="CB95" s="1405"/>
      <c r="CC95" s="1405"/>
      <c r="CD95" s="1405"/>
      <c r="CE95" s="1405"/>
      <c r="CF95" s="1405"/>
      <c r="CG95" s="1405"/>
      <c r="CH95" s="1405"/>
      <c r="CI95" s="1405"/>
      <c r="CJ95" s="1405"/>
      <c r="CK95" s="1405"/>
      <c r="CL95" s="1405"/>
      <c r="CM95" s="1405"/>
      <c r="CN95" s="1405"/>
      <c r="CO95" s="1405"/>
    </row>
    <row r="96" spans="1:93" ht="15.75">
      <c r="X96" s="299"/>
      <c r="Y96" s="1408"/>
      <c r="Z96" s="1408"/>
      <c r="AA96" s="1408"/>
      <c r="AB96" s="1408"/>
      <c r="AC96" s="1408"/>
      <c r="AD96" s="1408"/>
      <c r="AE96" s="1408"/>
      <c r="AF96" s="1408"/>
      <c r="AG96" s="1408"/>
      <c r="AH96" s="1408"/>
      <c r="AI96" s="1408"/>
      <c r="AJ96" s="1283"/>
      <c r="AK96" s="1408"/>
      <c r="AL96" s="1408"/>
      <c r="AM96" s="1408"/>
      <c r="AN96" s="293"/>
      <c r="AO96" s="1405"/>
      <c r="AP96" s="1405"/>
      <c r="AQ96" s="1405"/>
      <c r="AR96" s="1405"/>
      <c r="AS96" s="1405"/>
      <c r="AT96" s="1405"/>
      <c r="AU96" s="1405"/>
      <c r="AV96" s="1405"/>
      <c r="AW96" s="1405"/>
      <c r="AX96" s="1405"/>
      <c r="AY96" s="1405"/>
      <c r="AZ96" s="1405"/>
      <c r="BA96" s="1405"/>
      <c r="BB96" s="1405"/>
      <c r="BC96" s="1405"/>
      <c r="BD96" s="1405"/>
      <c r="BE96" s="1405"/>
      <c r="BF96" s="1405"/>
      <c r="BG96" s="1405"/>
      <c r="BH96" s="1405"/>
      <c r="BI96" s="1405"/>
      <c r="BJ96" s="1405"/>
      <c r="BK96" s="1405"/>
      <c r="BL96" s="1405"/>
      <c r="BM96" s="1405"/>
      <c r="BN96" s="1405"/>
      <c r="BO96" s="1405"/>
      <c r="BP96" s="1405"/>
      <c r="BQ96" s="1405"/>
      <c r="BR96" s="1405"/>
      <c r="BS96" s="1405"/>
      <c r="BT96" s="1405"/>
      <c r="BU96" s="1405"/>
      <c r="BV96" s="1405"/>
      <c r="BW96" s="1405"/>
      <c r="BX96" s="1405"/>
      <c r="BY96" s="1405"/>
      <c r="BZ96" s="1405"/>
      <c r="CA96" s="1405"/>
      <c r="CB96" s="1405"/>
      <c r="CC96" s="1405"/>
      <c r="CD96" s="1405"/>
      <c r="CE96" s="1405"/>
      <c r="CF96" s="1405"/>
      <c r="CG96" s="1405"/>
      <c r="CH96" s="1405"/>
      <c r="CI96" s="1405"/>
      <c r="CJ96" s="1405"/>
      <c r="CK96" s="1405"/>
      <c r="CL96" s="1405"/>
      <c r="CM96" s="1405"/>
      <c r="CN96" s="1405"/>
      <c r="CO96" s="1405"/>
    </row>
    <row r="97" spans="2:93" ht="15.75">
      <c r="E97" s="1500"/>
      <c r="X97" s="342"/>
      <c r="Y97" s="1408"/>
      <c r="Z97" s="1408"/>
      <c r="AA97" s="1408"/>
      <c r="AB97" s="1408"/>
      <c r="AC97" s="1408"/>
      <c r="AD97" s="1408"/>
      <c r="AE97" s="1408"/>
      <c r="AF97" s="1408"/>
      <c r="AG97" s="1408"/>
      <c r="AH97" s="1408"/>
      <c r="AI97" s="1408"/>
      <c r="AJ97" s="1284"/>
      <c r="AK97" s="1408"/>
      <c r="AL97" s="1408"/>
      <c r="AM97" s="1408"/>
      <c r="AN97" s="293"/>
      <c r="AO97" s="1405"/>
      <c r="AP97" s="1405"/>
      <c r="AQ97" s="1405"/>
      <c r="AR97" s="1405"/>
      <c r="AS97" s="1405"/>
      <c r="AT97" s="1405"/>
      <c r="AU97" s="1405"/>
      <c r="AV97" s="1405"/>
      <c r="AW97" s="1405"/>
      <c r="AX97" s="1405"/>
      <c r="AY97" s="1405"/>
      <c r="AZ97" s="1405"/>
      <c r="BA97" s="1405"/>
      <c r="BB97" s="1405"/>
      <c r="BC97" s="1405"/>
      <c r="BD97" s="1405"/>
      <c r="BE97" s="1405"/>
      <c r="BF97" s="1405"/>
      <c r="BG97" s="1405"/>
      <c r="BH97" s="1405"/>
      <c r="BI97" s="1405"/>
      <c r="BJ97" s="1405"/>
      <c r="BK97" s="1405"/>
      <c r="BL97" s="1405"/>
      <c r="BM97" s="1405"/>
      <c r="BN97" s="1405"/>
      <c r="BO97" s="1405"/>
      <c r="BP97" s="1405"/>
      <c r="BQ97" s="1405"/>
      <c r="BR97" s="1405"/>
      <c r="BS97" s="1405"/>
      <c r="BT97" s="1405"/>
      <c r="BU97" s="1405"/>
      <c r="BV97" s="1405"/>
      <c r="BW97" s="1405"/>
      <c r="BX97" s="1405"/>
      <c r="BY97" s="1405"/>
      <c r="BZ97" s="1405"/>
      <c r="CA97" s="1405"/>
      <c r="CB97" s="1405"/>
      <c r="CC97" s="1405"/>
      <c r="CD97" s="1405"/>
      <c r="CE97" s="1405"/>
      <c r="CF97" s="1405"/>
      <c r="CG97" s="1405"/>
      <c r="CH97" s="1405"/>
      <c r="CI97" s="1405"/>
      <c r="CJ97" s="1405"/>
      <c r="CK97" s="1405"/>
      <c r="CL97" s="1405"/>
      <c r="CM97" s="1405"/>
      <c r="CN97" s="1405"/>
      <c r="CO97" s="1405"/>
    </row>
    <row r="98" spans="2:93" ht="15.75">
      <c r="E98" s="1500"/>
      <c r="X98" s="342"/>
      <c r="Y98" s="1408"/>
      <c r="Z98" s="1408"/>
      <c r="AA98" s="1408"/>
      <c r="AB98" s="1408"/>
      <c r="AC98" s="1408"/>
      <c r="AD98" s="1408"/>
      <c r="AE98" s="1408"/>
      <c r="AF98" s="1408"/>
      <c r="AG98" s="1408"/>
      <c r="AH98" s="1408"/>
      <c r="AI98" s="1408"/>
      <c r="AJ98" s="1284"/>
      <c r="AK98" s="1408"/>
      <c r="AL98" s="1408"/>
      <c r="AM98" s="1408"/>
      <c r="AN98" s="293"/>
      <c r="AO98" s="1405"/>
      <c r="AP98" s="1405"/>
      <c r="AQ98" s="1405"/>
      <c r="AR98" s="1405"/>
      <c r="AS98" s="1405"/>
      <c r="AT98" s="1405"/>
      <c r="AU98" s="1405"/>
      <c r="AV98" s="1405"/>
      <c r="AW98" s="1405"/>
      <c r="AX98" s="1405"/>
      <c r="AY98" s="1405"/>
      <c r="AZ98" s="1405"/>
      <c r="BA98" s="1405"/>
      <c r="BB98" s="1405"/>
      <c r="BC98" s="1405"/>
      <c r="BD98" s="1405"/>
      <c r="BE98" s="1405"/>
      <c r="BF98" s="1405"/>
      <c r="BG98" s="1405"/>
      <c r="BH98" s="1405"/>
      <c r="BI98" s="1405"/>
      <c r="BJ98" s="1405"/>
      <c r="BK98" s="1405"/>
      <c r="BL98" s="1405"/>
      <c r="BM98" s="1405"/>
      <c r="BN98" s="1405"/>
      <c r="BO98" s="1405"/>
      <c r="BP98" s="1405"/>
      <c r="BQ98" s="1405"/>
      <c r="BR98" s="1405"/>
      <c r="BS98" s="1405"/>
      <c r="BT98" s="1405"/>
      <c r="BU98" s="1405"/>
      <c r="BV98" s="1405"/>
      <c r="BW98" s="1405"/>
      <c r="BX98" s="1405"/>
      <c r="BY98" s="1405"/>
      <c r="BZ98" s="1405"/>
      <c r="CA98" s="1405"/>
      <c r="CB98" s="1405"/>
      <c r="CC98" s="1405"/>
      <c r="CD98" s="1405"/>
      <c r="CE98" s="1405"/>
      <c r="CF98" s="1405"/>
      <c r="CG98" s="1405"/>
      <c r="CH98" s="1405"/>
      <c r="CI98" s="1405"/>
      <c r="CJ98" s="1405"/>
      <c r="CK98" s="1405"/>
      <c r="CL98" s="1405"/>
      <c r="CM98" s="1405"/>
      <c r="CN98" s="1405"/>
      <c r="CO98" s="1405"/>
    </row>
    <row r="99" spans="2:93" ht="15.75">
      <c r="E99" s="1500"/>
      <c r="L99" s="1326"/>
      <c r="AF99" s="1405"/>
      <c r="AG99" s="1405"/>
      <c r="AH99" s="1405"/>
      <c r="AI99" s="1405"/>
      <c r="AJ99" s="1407"/>
      <c r="AK99" s="1405"/>
      <c r="AL99" s="1405"/>
      <c r="AM99" s="1405"/>
      <c r="AN99" s="1405"/>
      <c r="AO99" s="1405"/>
      <c r="AP99" s="1405"/>
      <c r="AQ99" s="1405"/>
      <c r="AR99" s="1405"/>
      <c r="AS99" s="1405"/>
      <c r="AT99" s="1405"/>
      <c r="AU99" s="1405"/>
      <c r="AV99" s="1405"/>
      <c r="AW99" s="1405"/>
      <c r="AX99" s="1405"/>
      <c r="AY99" s="1405"/>
      <c r="AZ99" s="1405"/>
      <c r="BA99" s="1405"/>
      <c r="BB99" s="1405"/>
      <c r="BC99" s="1405"/>
      <c r="BD99" s="1405"/>
      <c r="BE99" s="1405"/>
      <c r="BF99" s="1405"/>
      <c r="BG99" s="1405"/>
      <c r="BH99" s="1405"/>
      <c r="BI99" s="1405"/>
      <c r="BJ99" s="1405"/>
      <c r="BK99" s="1405"/>
      <c r="BL99" s="1405"/>
      <c r="BM99" s="1405"/>
      <c r="BN99" s="1405"/>
      <c r="BO99" s="1405"/>
      <c r="BP99" s="1405"/>
      <c r="BQ99" s="1405"/>
      <c r="BR99" s="1405"/>
      <c r="BS99" s="1405"/>
      <c r="BT99" s="1405"/>
      <c r="BU99" s="1405"/>
      <c r="BV99" s="1405"/>
      <c r="BW99" s="1405"/>
      <c r="BX99" s="1405"/>
      <c r="BY99" s="1405"/>
      <c r="BZ99" s="1405"/>
      <c r="CA99" s="1405"/>
      <c r="CB99" s="1405"/>
      <c r="CC99" s="1405"/>
      <c r="CD99" s="1405"/>
      <c r="CE99" s="1405"/>
      <c r="CF99" s="1405"/>
      <c r="CG99" s="1405"/>
      <c r="CH99" s="1405"/>
      <c r="CI99" s="1405"/>
      <c r="CJ99" s="1405"/>
      <c r="CK99" s="1405"/>
      <c r="CL99" s="1405"/>
      <c r="CM99" s="1405"/>
      <c r="CN99" s="1405"/>
      <c r="CO99" s="1405"/>
    </row>
    <row r="100" spans="2:93">
      <c r="AF100" s="1405"/>
      <c r="AG100" s="1405"/>
      <c r="AH100" s="1405"/>
      <c r="AI100" s="1405"/>
      <c r="AJ100" s="1405"/>
      <c r="AK100" s="1405"/>
      <c r="AL100" s="1405"/>
      <c r="AM100" s="1405"/>
      <c r="AN100" s="1405"/>
      <c r="AO100" s="1405"/>
      <c r="AP100" s="1405"/>
      <c r="AQ100" s="1405"/>
      <c r="AR100" s="1405"/>
      <c r="AS100" s="1405"/>
      <c r="AT100" s="1405"/>
      <c r="AU100" s="1405"/>
      <c r="AV100" s="1405"/>
      <c r="AW100" s="1405"/>
      <c r="AX100" s="1405"/>
      <c r="AY100" s="1405"/>
      <c r="AZ100" s="1405"/>
      <c r="BA100" s="1405"/>
      <c r="BB100" s="1405"/>
      <c r="BC100" s="1405"/>
      <c r="BD100" s="1405"/>
      <c r="BE100" s="1405"/>
      <c r="BF100" s="1405"/>
      <c r="BG100" s="1405"/>
      <c r="BH100" s="1405"/>
      <c r="BI100" s="1405"/>
      <c r="BJ100" s="1405"/>
      <c r="BK100" s="1405"/>
      <c r="BL100" s="1405"/>
      <c r="BM100" s="1405"/>
      <c r="BN100" s="1405"/>
      <c r="BO100" s="1405"/>
      <c r="BP100" s="1405"/>
      <c r="BQ100" s="1405"/>
      <c r="BR100" s="1405"/>
      <c r="BS100" s="1405"/>
      <c r="BT100" s="1405"/>
      <c r="BU100" s="1405"/>
      <c r="BV100" s="1405"/>
      <c r="BW100" s="1405"/>
      <c r="BX100" s="1405"/>
      <c r="BY100" s="1405"/>
      <c r="BZ100" s="1405"/>
      <c r="CA100" s="1405"/>
      <c r="CB100" s="1405"/>
      <c r="CC100" s="1405"/>
      <c r="CD100" s="1405"/>
      <c r="CE100" s="1405"/>
      <c r="CF100" s="1405"/>
      <c r="CG100" s="1405"/>
      <c r="CH100" s="1405"/>
      <c r="CI100" s="1405"/>
      <c r="CJ100" s="1405"/>
      <c r="CK100" s="1405"/>
      <c r="CL100" s="1405"/>
      <c r="CM100" s="1405"/>
      <c r="CN100" s="1405"/>
      <c r="CO100" s="1405"/>
    </row>
    <row r="101" spans="2:93">
      <c r="B101" s="1309"/>
      <c r="C101" s="1312" t="s">
        <v>603</v>
      </c>
      <c r="D101" s="1313"/>
      <c r="E101" s="1313"/>
      <c r="F101" s="1313"/>
      <c r="G101" s="1313"/>
      <c r="AF101" s="1405"/>
      <c r="AG101" s="1405"/>
      <c r="AH101" s="1405"/>
      <c r="AI101" s="1405"/>
      <c r="AJ101" s="1405"/>
      <c r="AK101" s="1405"/>
      <c r="AL101" s="1405"/>
      <c r="AM101" s="1405"/>
      <c r="AN101" s="1405"/>
      <c r="AO101" s="1405"/>
      <c r="AP101" s="1405"/>
      <c r="AQ101" s="1405"/>
      <c r="AR101" s="1405"/>
      <c r="AS101" s="1405"/>
      <c r="AT101" s="1405"/>
      <c r="AU101" s="1405"/>
      <c r="AV101" s="1405"/>
      <c r="AW101" s="1405"/>
      <c r="AX101" s="1405"/>
      <c r="AY101" s="1405"/>
      <c r="AZ101" s="1405"/>
      <c r="BA101" s="1405"/>
      <c r="BB101" s="1405"/>
      <c r="BC101" s="1405"/>
      <c r="BD101" s="1405"/>
      <c r="BE101" s="1405"/>
      <c r="BF101" s="1405"/>
      <c r="BG101" s="1405"/>
      <c r="BH101" s="1405"/>
      <c r="BI101" s="1405"/>
      <c r="BJ101" s="1405"/>
      <c r="BK101" s="1405"/>
      <c r="BL101" s="1405"/>
      <c r="BM101" s="1405"/>
      <c r="BN101" s="1405"/>
      <c r="BO101" s="1405"/>
      <c r="BP101" s="1405"/>
      <c r="BQ101" s="1405"/>
      <c r="BR101" s="1405"/>
      <c r="BS101" s="1405"/>
      <c r="BT101" s="1405"/>
      <c r="BU101" s="1405"/>
      <c r="BV101" s="1405"/>
      <c r="BW101" s="1405"/>
      <c r="BX101" s="1405"/>
      <c r="BY101" s="1405"/>
      <c r="BZ101" s="1405"/>
      <c r="CA101" s="1405"/>
      <c r="CB101" s="1405"/>
      <c r="CC101" s="1405"/>
      <c r="CD101" s="1405"/>
      <c r="CE101" s="1405"/>
      <c r="CF101" s="1405"/>
      <c r="CG101" s="1405"/>
      <c r="CH101" s="1405"/>
      <c r="CI101" s="1405"/>
      <c r="CJ101" s="1405"/>
      <c r="CK101" s="1405"/>
      <c r="CL101" s="1405"/>
      <c r="CM101" s="1405"/>
      <c r="CN101" s="1405"/>
      <c r="CO101" s="1405"/>
    </row>
    <row r="102" spans="2:93">
      <c r="B102" s="1310" t="s">
        <v>611</v>
      </c>
      <c r="C102" s="1312"/>
      <c r="D102" s="1313" t="s">
        <v>604</v>
      </c>
      <c r="E102" s="1313" t="s">
        <v>605</v>
      </c>
      <c r="F102" s="1313"/>
      <c r="G102" s="1313"/>
      <c r="AF102" s="1405"/>
      <c r="AG102" s="1405"/>
      <c r="AH102" s="1405"/>
      <c r="AI102" s="1405"/>
      <c r="AJ102" s="1405"/>
      <c r="AK102" s="1405"/>
      <c r="AL102" s="1405"/>
      <c r="AM102" s="1405"/>
      <c r="AN102" s="1405"/>
      <c r="AO102" s="1405"/>
      <c r="AP102" s="1405"/>
      <c r="AQ102" s="1405"/>
      <c r="AR102" s="1405"/>
      <c r="AS102" s="1405"/>
      <c r="AT102" s="1405"/>
      <c r="AU102" s="1405"/>
      <c r="AV102" s="1405"/>
      <c r="AW102" s="1405"/>
      <c r="AX102" s="1405"/>
      <c r="AY102" s="1405"/>
      <c r="AZ102" s="1405"/>
      <c r="BA102" s="1405"/>
      <c r="BB102" s="1405"/>
      <c r="BC102" s="1405"/>
      <c r="BD102" s="1405"/>
      <c r="BE102" s="1405"/>
      <c r="BF102" s="1405"/>
      <c r="BG102" s="1405"/>
      <c r="BH102" s="1405"/>
      <c r="BI102" s="1405"/>
      <c r="BJ102" s="1405"/>
      <c r="BK102" s="1405"/>
      <c r="BL102" s="1405"/>
      <c r="BM102" s="1405"/>
      <c r="BN102" s="1405"/>
      <c r="BO102" s="1405"/>
      <c r="BP102" s="1405"/>
      <c r="BQ102" s="1405"/>
      <c r="BR102" s="1405"/>
      <c r="BS102" s="1405"/>
      <c r="BT102" s="1405"/>
      <c r="BU102" s="1405"/>
      <c r="BV102" s="1405"/>
      <c r="BW102" s="1405"/>
      <c r="BX102" s="1405"/>
      <c r="BY102" s="1405"/>
      <c r="BZ102" s="1405"/>
      <c r="CA102" s="1405"/>
      <c r="CB102" s="1405"/>
      <c r="CC102" s="1405"/>
      <c r="CD102" s="1405"/>
      <c r="CE102" s="1405"/>
      <c r="CF102" s="1405"/>
      <c r="CG102" s="1405"/>
      <c r="CH102" s="1405"/>
      <c r="CI102" s="1405"/>
      <c r="CJ102" s="1405"/>
      <c r="CK102" s="1405"/>
      <c r="CL102" s="1405"/>
      <c r="CM102" s="1405"/>
      <c r="CN102" s="1405"/>
      <c r="CO102" s="1405"/>
    </row>
    <row r="103" spans="2:93">
      <c r="B103" s="1309"/>
      <c r="C103" s="1312"/>
      <c r="D103" s="1313" t="s">
        <v>606</v>
      </c>
      <c r="E103" s="1313" t="s">
        <v>607</v>
      </c>
      <c r="F103" s="1313" t="s">
        <v>606</v>
      </c>
      <c r="G103" s="1313" t="s">
        <v>607</v>
      </c>
      <c r="AF103" s="1405"/>
      <c r="AG103" s="1405"/>
      <c r="AH103" s="1405"/>
      <c r="AI103" s="1405"/>
      <c r="AJ103" s="1405"/>
      <c r="AK103" s="1405"/>
      <c r="AL103" s="1405"/>
      <c r="AM103" s="1405"/>
      <c r="AN103" s="1405"/>
      <c r="AO103" s="1405"/>
      <c r="AP103" s="1405"/>
      <c r="AQ103" s="1405"/>
      <c r="AR103" s="1405"/>
      <c r="AS103" s="1405"/>
      <c r="AT103" s="1405"/>
      <c r="AU103" s="1405"/>
      <c r="AV103" s="1405"/>
      <c r="AW103" s="1405"/>
      <c r="AX103" s="1405"/>
      <c r="AY103" s="1405"/>
      <c r="AZ103" s="1405"/>
      <c r="BA103" s="1405"/>
      <c r="BB103" s="1405"/>
      <c r="BC103" s="1405"/>
      <c r="BD103" s="1405"/>
      <c r="BE103" s="1405"/>
      <c r="BF103" s="1405"/>
      <c r="BG103" s="1405"/>
      <c r="BH103" s="1405"/>
      <c r="BI103" s="1405"/>
      <c r="BJ103" s="1405"/>
      <c r="BK103" s="1405"/>
      <c r="BL103" s="1405"/>
      <c r="BM103" s="1405"/>
      <c r="BN103" s="1405"/>
      <c r="BO103" s="1405"/>
      <c r="BP103" s="1405"/>
      <c r="BQ103" s="1405"/>
      <c r="BR103" s="1405"/>
      <c r="BS103" s="1405"/>
      <c r="BT103" s="1405"/>
      <c r="BU103" s="1405"/>
      <c r="BV103" s="1405"/>
      <c r="BW103" s="1405"/>
      <c r="BX103" s="1405"/>
      <c r="BY103" s="1405"/>
      <c r="BZ103" s="1405"/>
      <c r="CA103" s="1405"/>
      <c r="CB103" s="1405"/>
      <c r="CC103" s="1405"/>
      <c r="CD103" s="1405"/>
      <c r="CE103" s="1405"/>
      <c r="CF103" s="1405"/>
      <c r="CG103" s="1405"/>
      <c r="CH103" s="1405"/>
      <c r="CI103" s="1405"/>
      <c r="CJ103" s="1405"/>
      <c r="CK103" s="1405"/>
      <c r="CL103" s="1405"/>
      <c r="CM103" s="1405"/>
      <c r="CN103" s="1405"/>
      <c r="CO103" s="1405"/>
    </row>
    <row r="104" spans="2:93">
      <c r="B104" s="1309">
        <v>2018</v>
      </c>
      <c r="C104" s="1312" t="s">
        <v>608</v>
      </c>
      <c r="D104" s="1313">
        <v>40</v>
      </c>
      <c r="E104" s="1313" t="s">
        <v>609</v>
      </c>
      <c r="F104" s="1313" t="s">
        <v>610</v>
      </c>
      <c r="G104" s="1313" t="s">
        <v>610</v>
      </c>
      <c r="AF104" s="1405"/>
      <c r="AG104" s="1405"/>
      <c r="AH104" s="1405"/>
      <c r="AI104" s="1405"/>
      <c r="AJ104" s="1405"/>
      <c r="AK104" s="1405"/>
      <c r="AL104" s="1405"/>
      <c r="AM104" s="1405"/>
      <c r="AN104" s="1405"/>
      <c r="AO104" s="1405"/>
      <c r="AP104" s="1405"/>
      <c r="AQ104" s="1405"/>
      <c r="AR104" s="1405"/>
      <c r="AS104" s="1405"/>
      <c r="AT104" s="1405"/>
      <c r="AU104" s="1405"/>
      <c r="AV104" s="1405"/>
      <c r="AW104" s="1405"/>
      <c r="AX104" s="1405"/>
      <c r="AY104" s="1405"/>
      <c r="AZ104" s="1405"/>
      <c r="BA104" s="1405"/>
      <c r="BB104" s="1405"/>
      <c r="BC104" s="1405"/>
      <c r="BD104" s="1405"/>
      <c r="BE104" s="1405"/>
      <c r="BF104" s="1405"/>
      <c r="BG104" s="1405"/>
      <c r="BH104" s="1405"/>
      <c r="BI104" s="1405"/>
      <c r="BJ104" s="1405"/>
      <c r="BK104" s="1405"/>
      <c r="BL104" s="1405"/>
      <c r="BM104" s="1405"/>
      <c r="BN104" s="1405"/>
      <c r="BO104" s="1405"/>
      <c r="BP104" s="1405"/>
      <c r="BQ104" s="1405"/>
      <c r="BR104" s="1405"/>
      <c r="BS104" s="1405"/>
      <c r="BT104" s="1405"/>
      <c r="BU104" s="1405"/>
      <c r="BV104" s="1405"/>
      <c r="BW104" s="1405"/>
      <c r="BX104" s="1405"/>
      <c r="BY104" s="1405"/>
      <c r="BZ104" s="1405"/>
      <c r="CA104" s="1405"/>
      <c r="CB104" s="1405"/>
      <c r="CC104" s="1405"/>
      <c r="CD104" s="1405"/>
      <c r="CE104" s="1405"/>
      <c r="CF104" s="1405"/>
      <c r="CG104" s="1405"/>
      <c r="CH104" s="1405"/>
      <c r="CI104" s="1405"/>
      <c r="CJ104" s="1405"/>
      <c r="CK104" s="1405"/>
      <c r="CL104" s="1405"/>
      <c r="CM104" s="1405"/>
      <c r="CN104" s="1405"/>
      <c r="CO104" s="1405"/>
    </row>
    <row r="105" spans="2:93">
      <c r="B105" s="1309"/>
      <c r="C105" s="1312" t="s">
        <v>45</v>
      </c>
      <c r="D105" s="1313" t="s">
        <v>609</v>
      </c>
      <c r="E105" s="1313" t="s">
        <v>610</v>
      </c>
      <c r="F105" s="1313">
        <v>110</v>
      </c>
      <c r="G105" s="1313">
        <v>30</v>
      </c>
      <c r="AF105" s="1405"/>
      <c r="AG105" s="1405"/>
      <c r="AH105" s="1405"/>
      <c r="AI105" s="1405"/>
      <c r="AJ105" s="1405"/>
      <c r="AK105" s="1405"/>
      <c r="AL105" s="1405"/>
      <c r="AM105" s="1405"/>
      <c r="AN105" s="1405"/>
      <c r="AO105" s="1405"/>
      <c r="AP105" s="1405"/>
      <c r="AQ105" s="1405"/>
      <c r="AR105" s="1405"/>
      <c r="AS105" s="1405"/>
      <c r="AT105" s="1405"/>
      <c r="AU105" s="1405"/>
      <c r="AV105" s="1405"/>
      <c r="AW105" s="1405"/>
      <c r="AX105" s="1405"/>
      <c r="AY105" s="1405"/>
      <c r="AZ105" s="1405"/>
      <c r="BA105" s="1405"/>
      <c r="BB105" s="1405"/>
      <c r="BC105" s="1405"/>
      <c r="BD105" s="1405"/>
      <c r="BE105" s="1405"/>
      <c r="BF105" s="1405"/>
      <c r="BG105" s="1405"/>
      <c r="BH105" s="1405"/>
      <c r="BI105" s="1405"/>
      <c r="BJ105" s="1405"/>
      <c r="BK105" s="1405"/>
      <c r="BL105" s="1405"/>
      <c r="BM105" s="1405"/>
      <c r="BN105" s="1405"/>
      <c r="BO105" s="1405"/>
      <c r="BP105" s="1405"/>
      <c r="BQ105" s="1405"/>
      <c r="BR105" s="1405"/>
      <c r="BS105" s="1405"/>
      <c r="BT105" s="1405"/>
      <c r="BU105" s="1405"/>
      <c r="BV105" s="1405"/>
      <c r="BW105" s="1405"/>
      <c r="BX105" s="1405"/>
      <c r="BY105" s="1405"/>
      <c r="BZ105" s="1405"/>
      <c r="CA105" s="1405"/>
      <c r="CB105" s="1405"/>
      <c r="CC105" s="1405"/>
      <c r="CD105" s="1405"/>
      <c r="CE105" s="1405"/>
      <c r="CF105" s="1405"/>
      <c r="CG105" s="1405"/>
      <c r="CH105" s="1405"/>
      <c r="CI105" s="1405"/>
      <c r="CJ105" s="1405"/>
      <c r="CK105" s="1405"/>
      <c r="CL105" s="1405"/>
      <c r="CM105" s="1405"/>
      <c r="CN105" s="1405"/>
      <c r="CO105" s="1405"/>
    </row>
    <row r="106" spans="2:93">
      <c r="B106" s="1309"/>
      <c r="C106" s="1312" t="s">
        <v>46</v>
      </c>
      <c r="D106" s="1313" t="s">
        <v>609</v>
      </c>
      <c r="E106" s="1313" t="s">
        <v>610</v>
      </c>
      <c r="F106" s="1313">
        <v>220</v>
      </c>
      <c r="G106" s="1313" t="s">
        <v>609</v>
      </c>
      <c r="AF106" s="1405"/>
      <c r="AG106" s="1405"/>
      <c r="AH106" s="1405"/>
      <c r="AI106" s="1405"/>
      <c r="AJ106" s="1405"/>
      <c r="AK106" s="1405"/>
      <c r="AL106" s="1405"/>
      <c r="AM106" s="1405"/>
      <c r="AN106" s="1405"/>
      <c r="AO106" s="1405"/>
      <c r="AP106" s="1405"/>
      <c r="AQ106" s="1405"/>
      <c r="AR106" s="1405"/>
      <c r="AS106" s="1405"/>
      <c r="AT106" s="1405"/>
      <c r="AU106" s="1405"/>
      <c r="AV106" s="1405"/>
      <c r="AW106" s="1405"/>
      <c r="AX106" s="1405"/>
      <c r="AY106" s="1405"/>
      <c r="AZ106" s="1405"/>
      <c r="BA106" s="1405"/>
      <c r="BB106" s="1405"/>
      <c r="BC106" s="1405"/>
      <c r="BD106" s="1405"/>
      <c r="BE106" s="1405"/>
      <c r="BF106" s="1405"/>
      <c r="BG106" s="1405"/>
      <c r="BH106" s="1405"/>
      <c r="BI106" s="1405"/>
      <c r="BJ106" s="1405"/>
      <c r="BK106" s="1405"/>
      <c r="BL106" s="1405"/>
      <c r="BM106" s="1405"/>
      <c r="BN106" s="1405"/>
      <c r="BO106" s="1405"/>
      <c r="BP106" s="1405"/>
      <c r="BQ106" s="1405"/>
      <c r="BR106" s="1405"/>
      <c r="BS106" s="1405"/>
      <c r="BT106" s="1405"/>
      <c r="BU106" s="1405"/>
      <c r="BV106" s="1405"/>
      <c r="BW106" s="1405"/>
      <c r="BX106" s="1405"/>
      <c r="BY106" s="1405"/>
      <c r="BZ106" s="1405"/>
      <c r="CA106" s="1405"/>
      <c r="CB106" s="1405"/>
      <c r="CC106" s="1405"/>
      <c r="CD106" s="1405"/>
      <c r="CE106" s="1405"/>
      <c r="CF106" s="1405"/>
      <c r="CG106" s="1405"/>
      <c r="CH106" s="1405"/>
      <c r="CI106" s="1405"/>
      <c r="CJ106" s="1405"/>
      <c r="CK106" s="1405"/>
      <c r="CL106" s="1405"/>
      <c r="CM106" s="1405"/>
      <c r="CN106" s="1405"/>
      <c r="CO106" s="1405"/>
    </row>
    <row r="107" spans="2:93">
      <c r="B107" s="1309"/>
      <c r="C107" s="1312" t="s">
        <v>47</v>
      </c>
      <c r="D107" s="1313" t="s">
        <v>609</v>
      </c>
      <c r="E107" s="1313">
        <v>20</v>
      </c>
      <c r="F107" s="1313">
        <v>260</v>
      </c>
      <c r="G107" s="1313" t="s">
        <v>609</v>
      </c>
      <c r="AF107" s="1405"/>
      <c r="AG107" s="1405"/>
      <c r="AH107" s="1405"/>
      <c r="AI107" s="1405"/>
      <c r="AJ107" s="1405"/>
      <c r="AK107" s="1405"/>
      <c r="AL107" s="1405"/>
      <c r="AM107" s="1405"/>
      <c r="AN107" s="1405"/>
      <c r="AO107" s="1405"/>
      <c r="AP107" s="1405"/>
      <c r="AQ107" s="1405"/>
      <c r="AR107" s="1405"/>
      <c r="AS107" s="1405"/>
      <c r="AT107" s="1405"/>
      <c r="AU107" s="1405"/>
      <c r="AV107" s="1405"/>
      <c r="AW107" s="1405"/>
      <c r="AX107" s="1405"/>
      <c r="AY107" s="1405"/>
      <c r="AZ107" s="1405"/>
      <c r="BA107" s="1405"/>
      <c r="BB107" s="1405"/>
      <c r="BC107" s="1405"/>
      <c r="BD107" s="1405"/>
      <c r="BE107" s="1405"/>
      <c r="BF107" s="1405"/>
      <c r="BG107" s="1405"/>
      <c r="BH107" s="1405"/>
      <c r="BI107" s="1405"/>
      <c r="BJ107" s="1405"/>
      <c r="BK107" s="1405"/>
      <c r="BL107" s="1405"/>
      <c r="BM107" s="1405"/>
      <c r="BN107" s="1405"/>
      <c r="BO107" s="1405"/>
      <c r="BP107" s="1405"/>
      <c r="BQ107" s="1405"/>
      <c r="BR107" s="1405"/>
      <c r="BS107" s="1405"/>
      <c r="BT107" s="1405"/>
      <c r="BU107" s="1405"/>
      <c r="BV107" s="1405"/>
      <c r="BW107" s="1405"/>
      <c r="BX107" s="1405"/>
      <c r="BY107" s="1405"/>
      <c r="BZ107" s="1405"/>
      <c r="CA107" s="1405"/>
      <c r="CB107" s="1405"/>
      <c r="CC107" s="1405"/>
      <c r="CD107" s="1405"/>
      <c r="CE107" s="1405"/>
      <c r="CF107" s="1405"/>
      <c r="CG107" s="1405"/>
      <c r="CH107" s="1405"/>
      <c r="CI107" s="1405"/>
      <c r="CJ107" s="1405"/>
      <c r="CK107" s="1405"/>
      <c r="CL107" s="1405"/>
      <c r="CM107" s="1405"/>
      <c r="CN107" s="1405"/>
      <c r="CO107" s="1405"/>
    </row>
    <row r="108" spans="2:93">
      <c r="B108" s="1309"/>
      <c r="C108" s="1312" t="s">
        <v>48</v>
      </c>
      <c r="D108" s="1313" t="s">
        <v>609</v>
      </c>
      <c r="E108" s="1313" t="s">
        <v>610</v>
      </c>
      <c r="F108" s="1313">
        <v>190</v>
      </c>
      <c r="G108" s="1313" t="s">
        <v>609</v>
      </c>
      <c r="AF108" s="1405"/>
      <c r="AG108" s="1405"/>
      <c r="AH108" s="1405"/>
      <c r="AI108" s="1405"/>
      <c r="AJ108" s="1405"/>
      <c r="AK108" s="1405"/>
      <c r="AL108" s="1405"/>
      <c r="AM108" s="1405"/>
      <c r="AN108" s="1405"/>
      <c r="AO108" s="1405"/>
      <c r="AP108" s="1405"/>
      <c r="AQ108" s="1405"/>
      <c r="AR108" s="1405"/>
      <c r="AS108" s="1405"/>
      <c r="AT108" s="1405"/>
      <c r="AU108" s="1405"/>
      <c r="AV108" s="1405"/>
      <c r="AW108" s="1405"/>
      <c r="AX108" s="1405"/>
      <c r="AY108" s="1405"/>
      <c r="AZ108" s="1405"/>
      <c r="BA108" s="1405"/>
      <c r="BB108" s="1405"/>
      <c r="BC108" s="1405"/>
      <c r="BD108" s="1405"/>
      <c r="BE108" s="1405"/>
      <c r="BF108" s="1405"/>
      <c r="BG108" s="1405"/>
      <c r="BH108" s="1405"/>
      <c r="BI108" s="1405"/>
      <c r="BJ108" s="1405"/>
      <c r="BK108" s="1405"/>
      <c r="BL108" s="1405"/>
      <c r="BM108" s="1405"/>
      <c r="BN108" s="1405"/>
      <c r="BO108" s="1405"/>
      <c r="BP108" s="1405"/>
      <c r="BQ108" s="1405"/>
      <c r="BR108" s="1405"/>
      <c r="BS108" s="1405"/>
      <c r="BT108" s="1405"/>
      <c r="BU108" s="1405"/>
      <c r="BV108" s="1405"/>
      <c r="BW108" s="1405"/>
      <c r="BX108" s="1405"/>
      <c r="BY108" s="1405"/>
      <c r="BZ108" s="1405"/>
      <c r="CA108" s="1405"/>
      <c r="CB108" s="1405"/>
      <c r="CC108" s="1405"/>
      <c r="CD108" s="1405"/>
      <c r="CE108" s="1405"/>
      <c r="CF108" s="1405"/>
      <c r="CG108" s="1405"/>
      <c r="CH108" s="1405"/>
      <c r="CI108" s="1405"/>
      <c r="CJ108" s="1405"/>
      <c r="CK108" s="1405"/>
      <c r="CL108" s="1405"/>
      <c r="CM108" s="1405"/>
      <c r="CN108" s="1405"/>
      <c r="CO108" s="1405"/>
    </row>
    <row r="109" spans="2:93">
      <c r="B109" s="1309"/>
      <c r="C109" s="1312" t="s">
        <v>49</v>
      </c>
      <c r="D109" s="1313" t="s">
        <v>609</v>
      </c>
      <c r="E109" s="1313" t="s">
        <v>610</v>
      </c>
      <c r="F109" s="1313">
        <v>180</v>
      </c>
      <c r="G109" s="1313" t="s">
        <v>609</v>
      </c>
      <c r="AF109" s="1405"/>
      <c r="AG109" s="1405"/>
      <c r="AH109" s="1405"/>
      <c r="AI109" s="1405"/>
      <c r="AJ109" s="1405"/>
      <c r="AK109" s="1405"/>
      <c r="AL109" s="1405"/>
      <c r="AM109" s="1405"/>
      <c r="AN109" s="1405"/>
      <c r="AO109" s="1405"/>
      <c r="AP109" s="1405"/>
      <c r="AQ109" s="1405"/>
      <c r="AR109" s="1405"/>
      <c r="AS109" s="1405"/>
      <c r="AT109" s="1405"/>
      <c r="AU109" s="1405"/>
      <c r="AV109" s="1405"/>
      <c r="AW109" s="1405"/>
      <c r="AX109" s="1405"/>
      <c r="AY109" s="1405"/>
      <c r="AZ109" s="1405"/>
      <c r="BA109" s="1405"/>
      <c r="BB109" s="1405"/>
      <c r="BC109" s="1405"/>
      <c r="BD109" s="1405"/>
      <c r="BE109" s="1405"/>
      <c r="BF109" s="1405"/>
      <c r="BG109" s="1405"/>
      <c r="BH109" s="1405"/>
      <c r="BI109" s="1405"/>
      <c r="BJ109" s="1405"/>
      <c r="BK109" s="1405"/>
      <c r="BL109" s="1405"/>
      <c r="BM109" s="1405"/>
      <c r="BN109" s="1405"/>
      <c r="BO109" s="1405"/>
      <c r="BP109" s="1405"/>
      <c r="BQ109" s="1405"/>
      <c r="BR109" s="1405"/>
      <c r="BS109" s="1405"/>
      <c r="BT109" s="1405"/>
      <c r="BU109" s="1405"/>
      <c r="BV109" s="1405"/>
      <c r="BW109" s="1405"/>
      <c r="BX109" s="1405"/>
      <c r="BY109" s="1405"/>
      <c r="BZ109" s="1405"/>
      <c r="CA109" s="1405"/>
      <c r="CB109" s="1405"/>
      <c r="CC109" s="1405"/>
      <c r="CD109" s="1405"/>
      <c r="CE109" s="1405"/>
      <c r="CF109" s="1405"/>
      <c r="CG109" s="1405"/>
      <c r="CH109" s="1405"/>
      <c r="CI109" s="1405"/>
      <c r="CJ109" s="1405"/>
      <c r="CK109" s="1405"/>
      <c r="CL109" s="1405"/>
      <c r="CM109" s="1405"/>
      <c r="CN109" s="1405"/>
      <c r="CO109" s="1405"/>
    </row>
    <row r="110" spans="2:93">
      <c r="B110" s="1309"/>
      <c r="C110" s="1312" t="s">
        <v>50</v>
      </c>
      <c r="D110" s="1313" t="s">
        <v>609</v>
      </c>
      <c r="E110" s="1313" t="s">
        <v>610</v>
      </c>
      <c r="F110" s="1313">
        <v>175</v>
      </c>
      <c r="G110" s="1313" t="s">
        <v>609</v>
      </c>
      <c r="AF110" s="1405"/>
      <c r="AG110" s="1405"/>
      <c r="AH110" s="1405"/>
      <c r="AI110" s="1405"/>
      <c r="AJ110" s="1405"/>
      <c r="AK110" s="1405"/>
      <c r="AL110" s="1405"/>
      <c r="AM110" s="1405"/>
      <c r="AN110" s="1405"/>
      <c r="AO110" s="1405"/>
      <c r="AP110" s="1405"/>
      <c r="AQ110" s="1405"/>
      <c r="AR110" s="1405"/>
      <c r="AS110" s="1405"/>
      <c r="AT110" s="1405"/>
      <c r="AU110" s="1405"/>
      <c r="AV110" s="1405"/>
      <c r="AW110" s="1405"/>
      <c r="AX110" s="1405"/>
      <c r="AY110" s="1405"/>
      <c r="AZ110" s="1405"/>
      <c r="BA110" s="1405"/>
      <c r="BB110" s="1405"/>
      <c r="BC110" s="1405"/>
      <c r="BD110" s="1405"/>
      <c r="BE110" s="1405"/>
      <c r="BF110" s="1405"/>
      <c r="BG110" s="1405"/>
      <c r="BH110" s="1405"/>
      <c r="BI110" s="1405"/>
      <c r="BJ110" s="1405"/>
      <c r="BK110" s="1405"/>
      <c r="BL110" s="1405"/>
      <c r="BM110" s="1405"/>
      <c r="BN110" s="1405"/>
      <c r="BO110" s="1405"/>
      <c r="BP110" s="1405"/>
      <c r="BQ110" s="1405"/>
      <c r="BR110" s="1405"/>
      <c r="BS110" s="1405"/>
      <c r="BT110" s="1405"/>
      <c r="BU110" s="1405"/>
      <c r="BV110" s="1405"/>
      <c r="BW110" s="1405"/>
      <c r="BX110" s="1405"/>
      <c r="BY110" s="1405"/>
      <c r="BZ110" s="1405"/>
      <c r="CA110" s="1405"/>
      <c r="CB110" s="1405"/>
      <c r="CC110" s="1405"/>
      <c r="CD110" s="1405"/>
      <c r="CE110" s="1405"/>
      <c r="CF110" s="1405"/>
      <c r="CG110" s="1405"/>
      <c r="CH110" s="1405"/>
      <c r="CI110" s="1405"/>
      <c r="CJ110" s="1405"/>
      <c r="CK110" s="1405"/>
      <c r="CL110" s="1405"/>
      <c r="CM110" s="1405"/>
      <c r="CN110" s="1405"/>
      <c r="CO110" s="1405"/>
    </row>
    <row r="111" spans="2:93">
      <c r="B111" s="1311"/>
      <c r="C111" s="1312" t="s">
        <v>612</v>
      </c>
      <c r="D111" s="1313"/>
      <c r="E111" s="1313"/>
      <c r="F111" s="1313"/>
      <c r="G111" s="1313"/>
      <c r="AF111" s="1405"/>
      <c r="AG111" s="1405"/>
      <c r="AH111" s="1405"/>
      <c r="AI111" s="1405"/>
      <c r="AJ111" s="1405"/>
      <c r="AK111" s="1405"/>
      <c r="AL111" s="1405"/>
      <c r="AM111" s="1405"/>
      <c r="AN111" s="1405"/>
      <c r="AO111" s="1405"/>
      <c r="AP111" s="1405"/>
      <c r="AQ111" s="1405"/>
      <c r="AR111" s="1405"/>
      <c r="AS111" s="1405"/>
      <c r="AT111" s="1405"/>
      <c r="AU111" s="1405"/>
      <c r="AV111" s="1405"/>
      <c r="AW111" s="1405"/>
      <c r="AX111" s="1405"/>
      <c r="AY111" s="1405"/>
      <c r="AZ111" s="1405"/>
      <c r="BA111" s="1405"/>
      <c r="BB111" s="1405"/>
      <c r="BC111" s="1405"/>
      <c r="BD111" s="1405"/>
      <c r="BE111" s="1405"/>
      <c r="BF111" s="1405"/>
      <c r="BG111" s="1405"/>
      <c r="BH111" s="1405"/>
      <c r="BI111" s="1405"/>
      <c r="BJ111" s="1405"/>
      <c r="BK111" s="1405"/>
      <c r="BL111" s="1405"/>
      <c r="BM111" s="1405"/>
      <c r="BN111" s="1405"/>
      <c r="BO111" s="1405"/>
      <c r="BP111" s="1405"/>
      <c r="BQ111" s="1405"/>
      <c r="BR111" s="1405"/>
      <c r="BS111" s="1405"/>
      <c r="BT111" s="1405"/>
      <c r="BU111" s="1405"/>
      <c r="BV111" s="1405"/>
      <c r="BW111" s="1405"/>
      <c r="BX111" s="1405"/>
      <c r="BY111" s="1405"/>
      <c r="BZ111" s="1405"/>
      <c r="CA111" s="1405"/>
      <c r="CB111" s="1405"/>
      <c r="CC111" s="1405"/>
      <c r="CD111" s="1405"/>
      <c r="CE111" s="1405"/>
      <c r="CF111" s="1405"/>
      <c r="CG111" s="1405"/>
      <c r="CH111" s="1405"/>
      <c r="CI111" s="1405"/>
      <c r="CJ111" s="1405"/>
      <c r="CK111" s="1405"/>
      <c r="CL111" s="1405"/>
      <c r="CM111" s="1405"/>
      <c r="CN111" s="1405"/>
      <c r="CO111" s="1405"/>
    </row>
    <row r="112" spans="2:93">
      <c r="B112" s="1311"/>
      <c r="C112" s="1312" t="s">
        <v>613</v>
      </c>
      <c r="D112" s="1313"/>
      <c r="E112" s="1313"/>
      <c r="F112" s="1313"/>
      <c r="G112" s="1313"/>
      <c r="AF112" s="1405"/>
      <c r="AG112" s="1405"/>
      <c r="AH112" s="1405"/>
      <c r="AI112" s="1405"/>
      <c r="AJ112" s="1405"/>
      <c r="AK112" s="1405"/>
      <c r="AL112" s="1405"/>
      <c r="AM112" s="1405"/>
      <c r="AN112" s="1405"/>
      <c r="AO112" s="1405"/>
      <c r="AP112" s="1405"/>
      <c r="AQ112" s="1405"/>
      <c r="AR112" s="1405"/>
      <c r="AS112" s="1405"/>
      <c r="AT112" s="1405"/>
      <c r="AU112" s="1405"/>
      <c r="AV112" s="1405"/>
      <c r="AW112" s="1405"/>
      <c r="AX112" s="1405"/>
      <c r="AY112" s="1405"/>
      <c r="AZ112" s="1405"/>
      <c r="BA112" s="1405"/>
      <c r="BB112" s="1405"/>
      <c r="BC112" s="1405"/>
      <c r="BD112" s="1405"/>
      <c r="BE112" s="1405"/>
      <c r="BF112" s="1405"/>
      <c r="BG112" s="1405"/>
      <c r="BH112" s="1405"/>
      <c r="BI112" s="1405"/>
      <c r="BJ112" s="1405"/>
      <c r="BK112" s="1405"/>
      <c r="BL112" s="1405"/>
      <c r="BM112" s="1405"/>
      <c r="BN112" s="1405"/>
      <c r="BO112" s="1405"/>
      <c r="BP112" s="1405"/>
      <c r="BQ112" s="1405"/>
      <c r="BR112" s="1405"/>
      <c r="BS112" s="1405"/>
      <c r="BT112" s="1405"/>
      <c r="BU112" s="1405"/>
      <c r="BV112" s="1405"/>
      <c r="BW112" s="1405"/>
      <c r="BX112" s="1405"/>
      <c r="BY112" s="1405"/>
      <c r="BZ112" s="1405"/>
      <c r="CA112" s="1405"/>
      <c r="CB112" s="1405"/>
      <c r="CC112" s="1405"/>
      <c r="CD112" s="1405"/>
      <c r="CE112" s="1405"/>
      <c r="CF112" s="1405"/>
      <c r="CG112" s="1405"/>
      <c r="CH112" s="1405"/>
      <c r="CI112" s="1405"/>
      <c r="CJ112" s="1405"/>
      <c r="CK112" s="1405"/>
      <c r="CL112" s="1405"/>
      <c r="CM112" s="1405"/>
      <c r="CN112" s="1405"/>
      <c r="CO112" s="1405"/>
    </row>
    <row r="113" spans="2:93">
      <c r="B113" s="1311"/>
      <c r="C113" s="1312" t="s">
        <v>614</v>
      </c>
      <c r="D113" s="1313"/>
      <c r="E113" s="1313"/>
      <c r="F113" s="1313"/>
      <c r="G113" s="1313"/>
      <c r="AF113" s="1405"/>
      <c r="AG113" s="1405"/>
      <c r="AH113" s="1405"/>
      <c r="AI113" s="1405"/>
      <c r="AJ113" s="1405"/>
      <c r="AK113" s="1405"/>
      <c r="AL113" s="1405"/>
      <c r="AM113" s="1405"/>
      <c r="AN113" s="1405"/>
      <c r="AO113" s="1405"/>
      <c r="AP113" s="1405"/>
      <c r="AQ113" s="1405"/>
      <c r="AR113" s="1405"/>
      <c r="AS113" s="1405"/>
      <c r="AT113" s="1405"/>
      <c r="AU113" s="1405"/>
      <c r="AV113" s="1405"/>
      <c r="AW113" s="1405"/>
      <c r="AX113" s="1405"/>
      <c r="AY113" s="1405"/>
      <c r="AZ113" s="1405"/>
      <c r="BA113" s="1405"/>
      <c r="BB113" s="1405"/>
      <c r="BC113" s="1405"/>
      <c r="BD113" s="1405"/>
      <c r="BE113" s="1405"/>
      <c r="BF113" s="1405"/>
      <c r="BG113" s="1405"/>
      <c r="BH113" s="1405"/>
      <c r="BI113" s="1405"/>
      <c r="BJ113" s="1405"/>
      <c r="BK113" s="1405"/>
      <c r="BL113" s="1405"/>
      <c r="BM113" s="1405"/>
      <c r="BN113" s="1405"/>
      <c r="BO113" s="1405"/>
      <c r="BP113" s="1405"/>
      <c r="BQ113" s="1405"/>
      <c r="BR113" s="1405"/>
      <c r="BS113" s="1405"/>
      <c r="BT113" s="1405"/>
      <c r="BU113" s="1405"/>
      <c r="BV113" s="1405"/>
      <c r="BW113" s="1405"/>
      <c r="BX113" s="1405"/>
      <c r="BY113" s="1405"/>
      <c r="BZ113" s="1405"/>
      <c r="CA113" s="1405"/>
      <c r="CB113" s="1405"/>
      <c r="CC113" s="1405"/>
      <c r="CD113" s="1405"/>
      <c r="CE113" s="1405"/>
      <c r="CF113" s="1405"/>
      <c r="CG113" s="1405"/>
      <c r="CH113" s="1405"/>
      <c r="CI113" s="1405"/>
      <c r="CJ113" s="1405"/>
      <c r="CK113" s="1405"/>
      <c r="CL113" s="1405"/>
      <c r="CM113" s="1405"/>
      <c r="CN113" s="1405"/>
      <c r="CO113" s="1405"/>
    </row>
    <row r="114" spans="2:93">
      <c r="B114" s="1311"/>
      <c r="C114" s="1312" t="s">
        <v>615</v>
      </c>
      <c r="D114" s="1313"/>
      <c r="E114" s="1313"/>
      <c r="F114" s="1313"/>
      <c r="G114" s="1313"/>
      <c r="AF114" s="1405"/>
      <c r="AG114" s="1405"/>
      <c r="AH114" s="1405"/>
      <c r="AI114" s="1405"/>
      <c r="AJ114" s="1405"/>
      <c r="AK114" s="1405"/>
      <c r="AL114" s="1405"/>
      <c r="AM114" s="1405"/>
      <c r="AN114" s="1405"/>
      <c r="AO114" s="1405"/>
      <c r="AP114" s="1405"/>
      <c r="AQ114" s="1405"/>
      <c r="AR114" s="1405"/>
      <c r="AS114" s="1405"/>
      <c r="AT114" s="1405"/>
      <c r="AU114" s="1405"/>
      <c r="AV114" s="1405"/>
      <c r="AW114" s="1405"/>
      <c r="AX114" s="1405"/>
      <c r="AY114" s="1405"/>
      <c r="AZ114" s="1405"/>
      <c r="BA114" s="1405"/>
      <c r="BB114" s="1405"/>
      <c r="BC114" s="1405"/>
      <c r="BD114" s="1405"/>
      <c r="BE114" s="1405"/>
      <c r="BF114" s="1405"/>
      <c r="BG114" s="1405"/>
      <c r="BH114" s="1405"/>
      <c r="BI114" s="1405"/>
      <c r="BJ114" s="1405"/>
      <c r="BK114" s="1405"/>
      <c r="BL114" s="1405"/>
      <c r="BM114" s="1405"/>
      <c r="BN114" s="1405"/>
      <c r="BO114" s="1405"/>
      <c r="BP114" s="1405"/>
      <c r="BQ114" s="1405"/>
      <c r="BR114" s="1405"/>
      <c r="BS114" s="1405"/>
      <c r="BT114" s="1405"/>
      <c r="BU114" s="1405"/>
      <c r="BV114" s="1405"/>
      <c r="BW114" s="1405"/>
      <c r="BX114" s="1405"/>
      <c r="BY114" s="1405"/>
      <c r="BZ114" s="1405"/>
      <c r="CA114" s="1405"/>
      <c r="CB114" s="1405"/>
      <c r="CC114" s="1405"/>
      <c r="CD114" s="1405"/>
      <c r="CE114" s="1405"/>
      <c r="CF114" s="1405"/>
      <c r="CG114" s="1405"/>
      <c r="CH114" s="1405"/>
      <c r="CI114" s="1405"/>
      <c r="CJ114" s="1405"/>
      <c r="CK114" s="1405"/>
      <c r="CL114" s="1405"/>
      <c r="CM114" s="1405"/>
      <c r="CN114" s="1405"/>
      <c r="CO114" s="1405"/>
    </row>
    <row r="115" spans="2:93">
      <c r="B115" s="1311"/>
      <c r="C115" s="1312" t="s">
        <v>616</v>
      </c>
      <c r="D115" s="1313"/>
      <c r="E115" s="1313"/>
      <c r="F115" s="1313"/>
      <c r="G115" s="1313"/>
      <c r="AF115" s="1405"/>
      <c r="AG115" s="1405"/>
      <c r="AH115" s="1405"/>
      <c r="AI115" s="1405"/>
      <c r="AJ115" s="1405"/>
      <c r="AK115" s="1405"/>
      <c r="AL115" s="1405"/>
      <c r="AM115" s="1405"/>
      <c r="AN115" s="1405"/>
      <c r="AO115" s="1405"/>
      <c r="AP115" s="1405"/>
      <c r="AQ115" s="1405"/>
      <c r="AR115" s="1405"/>
      <c r="AS115" s="1405"/>
      <c r="AT115" s="1405"/>
      <c r="AU115" s="1405"/>
      <c r="AV115" s="1405"/>
      <c r="AW115" s="1405"/>
      <c r="AX115" s="1405"/>
      <c r="AY115" s="1405"/>
      <c r="AZ115" s="1405"/>
      <c r="BA115" s="1405"/>
      <c r="BB115" s="1405"/>
      <c r="BC115" s="1405"/>
      <c r="BD115" s="1405"/>
      <c r="BE115" s="1405"/>
      <c r="BF115" s="1405"/>
      <c r="BG115" s="1405"/>
      <c r="BH115" s="1405"/>
      <c r="BI115" s="1405"/>
      <c r="BJ115" s="1405"/>
      <c r="BK115" s="1405"/>
      <c r="BL115" s="1405"/>
      <c r="BM115" s="1405"/>
      <c r="BN115" s="1405"/>
      <c r="BO115" s="1405"/>
      <c r="BP115" s="1405"/>
      <c r="BQ115" s="1405"/>
      <c r="BR115" s="1405"/>
      <c r="BS115" s="1405"/>
      <c r="BT115" s="1405"/>
      <c r="BU115" s="1405"/>
      <c r="BV115" s="1405"/>
      <c r="BW115" s="1405"/>
      <c r="BX115" s="1405"/>
      <c r="BY115" s="1405"/>
      <c r="BZ115" s="1405"/>
      <c r="CA115" s="1405"/>
      <c r="CB115" s="1405"/>
      <c r="CC115" s="1405"/>
      <c r="CD115" s="1405"/>
      <c r="CE115" s="1405"/>
      <c r="CF115" s="1405"/>
      <c r="CG115" s="1405"/>
      <c r="CH115" s="1405"/>
      <c r="CI115" s="1405"/>
      <c r="CJ115" s="1405"/>
      <c r="CK115" s="1405"/>
      <c r="CL115" s="1405"/>
      <c r="CM115" s="1405"/>
      <c r="CN115" s="1405"/>
      <c r="CO115" s="1405"/>
    </row>
    <row r="116" spans="2:93">
      <c r="B116" s="1311"/>
      <c r="C116" s="1311"/>
      <c r="D116" s="1311"/>
      <c r="E116" s="1311"/>
      <c r="F116" s="1311"/>
      <c r="G116" s="1311"/>
      <c r="AF116" s="1405"/>
      <c r="AG116" s="1405"/>
      <c r="AH116" s="1405"/>
      <c r="AI116" s="1405"/>
      <c r="AJ116" s="1405"/>
      <c r="AK116" s="1405"/>
      <c r="AL116" s="1405"/>
      <c r="AM116" s="1405"/>
      <c r="AN116" s="1405"/>
      <c r="AO116" s="1405"/>
      <c r="AP116" s="1405"/>
      <c r="AQ116" s="1405"/>
      <c r="AR116" s="1405"/>
      <c r="AS116" s="1405"/>
      <c r="AT116" s="1405"/>
      <c r="AU116" s="1405"/>
      <c r="AV116" s="1405"/>
      <c r="AW116" s="1405"/>
      <c r="AX116" s="1405"/>
      <c r="AY116" s="1405"/>
      <c r="AZ116" s="1405"/>
      <c r="BA116" s="1405"/>
      <c r="BB116" s="1405"/>
      <c r="BC116" s="1405"/>
      <c r="BD116" s="1405"/>
      <c r="BE116" s="1405"/>
      <c r="BF116" s="1405"/>
      <c r="BG116" s="1405"/>
      <c r="BH116" s="1405"/>
      <c r="BI116" s="1405"/>
      <c r="BJ116" s="1405"/>
      <c r="BK116" s="1405"/>
      <c r="BL116" s="1405"/>
      <c r="BM116" s="1405"/>
      <c r="BN116" s="1405"/>
      <c r="BO116" s="1405"/>
      <c r="BP116" s="1405"/>
      <c r="BQ116" s="1405"/>
      <c r="BR116" s="1405"/>
      <c r="BS116" s="1405"/>
      <c r="BT116" s="1405"/>
      <c r="BU116" s="1405"/>
      <c r="BV116" s="1405"/>
      <c r="BW116" s="1405"/>
      <c r="BX116" s="1405"/>
      <c r="BY116" s="1405"/>
      <c r="BZ116" s="1405"/>
      <c r="CA116" s="1405"/>
      <c r="CB116" s="1405"/>
      <c r="CC116" s="1405"/>
      <c r="CD116" s="1405"/>
      <c r="CE116" s="1405"/>
      <c r="CF116" s="1405"/>
      <c r="CG116" s="1405"/>
      <c r="CH116" s="1405"/>
      <c r="CI116" s="1405"/>
      <c r="CJ116" s="1405"/>
      <c r="CK116" s="1405"/>
      <c r="CL116" s="1405"/>
      <c r="CM116" s="1405"/>
      <c r="CN116" s="1405"/>
      <c r="CO116" s="1405"/>
    </row>
    <row r="117" spans="2:93">
      <c r="AF117" s="1405"/>
      <c r="AG117" s="1405"/>
      <c r="AH117" s="1405"/>
      <c r="AI117" s="1405"/>
      <c r="AJ117" s="1405"/>
      <c r="AK117" s="1405"/>
      <c r="AL117" s="1405"/>
      <c r="AM117" s="1405"/>
      <c r="AN117" s="1405"/>
      <c r="AO117" s="1405"/>
      <c r="AP117" s="1405"/>
      <c r="AQ117" s="1405"/>
      <c r="AR117" s="1405"/>
      <c r="AS117" s="1405"/>
      <c r="AT117" s="1405"/>
      <c r="AU117" s="1405"/>
      <c r="AV117" s="1405"/>
      <c r="AW117" s="1405"/>
      <c r="AX117" s="1405"/>
      <c r="AY117" s="1405"/>
      <c r="AZ117" s="1405"/>
      <c r="BA117" s="1405"/>
      <c r="BB117" s="1405"/>
      <c r="BC117" s="1405"/>
      <c r="BD117" s="1405"/>
      <c r="BE117" s="1405"/>
      <c r="BF117" s="1405"/>
      <c r="BG117" s="1405"/>
      <c r="BH117" s="1405"/>
      <c r="BI117" s="1405"/>
      <c r="BJ117" s="1405"/>
      <c r="BK117" s="1405"/>
      <c r="BL117" s="1405"/>
      <c r="BM117" s="1405"/>
      <c r="BN117" s="1405"/>
      <c r="BO117" s="1405"/>
      <c r="BP117" s="1405"/>
      <c r="BQ117" s="1405"/>
      <c r="BR117" s="1405"/>
      <c r="BS117" s="1405"/>
      <c r="BT117" s="1405"/>
      <c r="BU117" s="1405"/>
      <c r="BV117" s="1405"/>
      <c r="BW117" s="1405"/>
      <c r="BX117" s="1405"/>
      <c r="BY117" s="1405"/>
      <c r="BZ117" s="1405"/>
      <c r="CA117" s="1405"/>
      <c r="CB117" s="1405"/>
      <c r="CC117" s="1405"/>
      <c r="CD117" s="1405"/>
      <c r="CE117" s="1405"/>
      <c r="CF117" s="1405"/>
      <c r="CG117" s="1405"/>
      <c r="CH117" s="1405"/>
      <c r="CI117" s="1405"/>
      <c r="CJ117" s="1405"/>
      <c r="CK117" s="1405"/>
      <c r="CL117" s="1405"/>
      <c r="CM117" s="1405"/>
      <c r="CN117" s="1405"/>
      <c r="CO117" s="1405"/>
    </row>
  </sheetData>
  <mergeCells count="74">
    <mergeCell ref="D50:D52"/>
    <mergeCell ref="E50:E52"/>
    <mergeCell ref="F50:F52"/>
    <mergeCell ref="G51:H51"/>
    <mergeCell ref="A25:A27"/>
    <mergeCell ref="A28:A30"/>
    <mergeCell ref="B37:B38"/>
    <mergeCell ref="C37:C38"/>
    <mergeCell ref="D37:D38"/>
    <mergeCell ref="F37:H37"/>
    <mergeCell ref="E37:E38"/>
    <mergeCell ref="B50:B52"/>
    <mergeCell ref="C50:C52"/>
    <mergeCell ref="A12:A15"/>
    <mergeCell ref="A16:A19"/>
    <mergeCell ref="A20:A21"/>
    <mergeCell ref="L57:M57"/>
    <mergeCell ref="R73:U73"/>
    <mergeCell ref="K73:O73"/>
    <mergeCell ref="G58:G60"/>
    <mergeCell ref="H58:I58"/>
    <mergeCell ref="J58:K58"/>
    <mergeCell ref="H59:I59"/>
    <mergeCell ref="J59:K59"/>
    <mergeCell ref="P73:Q73"/>
    <mergeCell ref="L58:M58"/>
    <mergeCell ref="L59:M59"/>
    <mergeCell ref="B58:B60"/>
    <mergeCell ref="C58:C60"/>
    <mergeCell ref="D58:D60"/>
    <mergeCell ref="E58:E60"/>
    <mergeCell ref="F58:F60"/>
    <mergeCell ref="AA77:AB77"/>
    <mergeCell ref="O76:O77"/>
    <mergeCell ref="B75:B77"/>
    <mergeCell ref="C75:C77"/>
    <mergeCell ref="D75:E75"/>
    <mergeCell ref="K75:L75"/>
    <mergeCell ref="M75:O75"/>
    <mergeCell ref="D76:E76"/>
    <mergeCell ref="K76:L76"/>
    <mergeCell ref="M76:N76"/>
    <mergeCell ref="F75:F77"/>
    <mergeCell ref="G75:G77"/>
    <mergeCell ref="H75:H77"/>
    <mergeCell ref="I76:J76"/>
    <mergeCell ref="I75:J75"/>
    <mergeCell ref="T6:U6"/>
    <mergeCell ref="M51:N51"/>
    <mergeCell ref="K50:L50"/>
    <mergeCell ref="R76:S76"/>
    <mergeCell ref="T76:U76"/>
    <mergeCell ref="R75:S75"/>
    <mergeCell ref="R74:U74"/>
    <mergeCell ref="K74:O74"/>
    <mergeCell ref="T75:U75"/>
    <mergeCell ref="M50:O50"/>
    <mergeCell ref="F7:K7"/>
    <mergeCell ref="L7:Q7"/>
    <mergeCell ref="P75:Q75"/>
    <mergeCell ref="P76:Q76"/>
    <mergeCell ref="P74:Q74"/>
    <mergeCell ref="K52:L52"/>
    <mergeCell ref="H4:I4"/>
    <mergeCell ref="I50:J50"/>
    <mergeCell ref="I51:J51"/>
    <mergeCell ref="P51:Q51"/>
    <mergeCell ref="P50:Q50"/>
    <mergeCell ref="I49:O49"/>
    <mergeCell ref="P49:Q49"/>
    <mergeCell ref="K51:L51"/>
    <mergeCell ref="G50:H50"/>
    <mergeCell ref="I41:J41"/>
    <mergeCell ref="I37:J37"/>
  </mergeCells>
  <pageMargins left="0.15748031496062992" right="0.15748031496062992" top="0.15748031496062992" bottom="0.15748031496062992" header="0.15748031496062992" footer="0.15748031496062992"/>
  <pageSetup paperSize="8" scale="50" orientation="landscape" r:id="rId1"/>
  <headerFooter>
    <oddFooter>&amp;R&amp;D &amp;T
&amp;Z&amp;F</oddFooter>
  </headerFooter>
  <customProperties>
    <customPr name="EpmWorksheetKeyString_GUID" r:id="rId2"/>
  </customProperties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L23"/>
  <sheetViews>
    <sheetView showGridLines="0" workbookViewId="0">
      <selection activeCell="F23" sqref="F23"/>
    </sheetView>
  </sheetViews>
  <sheetFormatPr defaultColWidth="9.140625" defaultRowHeight="15"/>
  <cols>
    <col min="1" max="1" width="2.140625" style="1207" customWidth="1"/>
    <col min="2" max="3" width="2.85546875" style="1207" customWidth="1"/>
    <col min="4" max="6" width="12.5703125" style="1207" customWidth="1"/>
    <col min="7" max="7" width="20.85546875" style="1207" customWidth="1"/>
    <col min="8" max="8" width="5.42578125" style="1207" customWidth="1"/>
    <col min="9" max="12" width="10.5703125" style="1207" customWidth="1"/>
    <col min="13" max="16384" width="9.140625" style="1207"/>
  </cols>
  <sheetData>
    <row r="1" spans="2:12">
      <c r="B1" s="1206" t="s">
        <v>574</v>
      </c>
    </row>
    <row r="2" spans="2:12">
      <c r="B2" s="1743">
        <f>'Year 2019 Summary '!E5</f>
        <v>43800</v>
      </c>
      <c r="C2" s="1743"/>
      <c r="D2" s="1743"/>
    </row>
    <row r="4" spans="2:12">
      <c r="B4" s="1208" t="s">
        <v>577</v>
      </c>
      <c r="C4" s="1209"/>
      <c r="D4" s="1209"/>
      <c r="E4" s="1209"/>
      <c r="F4" s="1209"/>
      <c r="G4" s="1209"/>
      <c r="H4" s="1209"/>
      <c r="I4" s="1209"/>
      <c r="J4" s="1210"/>
      <c r="K4" s="1211"/>
      <c r="L4" s="1211"/>
    </row>
    <row r="5" spans="2:12">
      <c r="B5" s="1249" t="s">
        <v>578</v>
      </c>
      <c r="C5" s="1212"/>
      <c r="D5" s="1212"/>
      <c r="E5" s="1212"/>
      <c r="F5" s="1212"/>
      <c r="G5" s="1212"/>
      <c r="H5" s="1212"/>
      <c r="I5" s="1212"/>
      <c r="J5" s="1213">
        <f>'Monthly Report '!I53</f>
        <v>10958.544</v>
      </c>
      <c r="K5" s="1214"/>
      <c r="L5" s="1214"/>
    </row>
    <row r="6" spans="2:12">
      <c r="B6" s="1249" t="s">
        <v>579</v>
      </c>
      <c r="C6" s="1212"/>
      <c r="D6" s="1212"/>
      <c r="E6" s="1212"/>
      <c r="F6" s="1212"/>
      <c r="G6" s="1212"/>
      <c r="H6" s="1212"/>
      <c r="I6" s="1212"/>
      <c r="J6" s="1213">
        <f>'Monthly Report '!I54</f>
        <v>3481.8310000000001</v>
      </c>
      <c r="K6" s="1214"/>
      <c r="L6" s="1214"/>
    </row>
    <row r="7" spans="2:12">
      <c r="B7" s="1249" t="s">
        <v>580</v>
      </c>
      <c r="C7" s="1212"/>
      <c r="D7" s="1212"/>
      <c r="E7" s="1212"/>
      <c r="F7" s="1212"/>
      <c r="G7" s="1212"/>
      <c r="H7" s="1212"/>
      <c r="I7" s="1212"/>
      <c r="J7" s="1213">
        <f>'Monthly Report '!T9</f>
        <v>12312.76</v>
      </c>
      <c r="K7" s="1214"/>
      <c r="L7" s="1214"/>
    </row>
    <row r="8" spans="2:12">
      <c r="B8" s="1215"/>
      <c r="C8" s="1216"/>
      <c r="D8" s="1216"/>
      <c r="E8" s="1216"/>
      <c r="F8" s="1216"/>
      <c r="G8" s="1216"/>
      <c r="H8" s="1216"/>
      <c r="I8" s="1216"/>
      <c r="J8" s="1217"/>
      <c r="K8" s="1214"/>
      <c r="L8" s="1214"/>
    </row>
    <row r="9" spans="2:12">
      <c r="B9" s="1250" t="s">
        <v>583</v>
      </c>
      <c r="C9" s="1216"/>
      <c r="D9" s="1216"/>
      <c r="E9" s="1216"/>
      <c r="F9" s="1216"/>
      <c r="G9" s="1216"/>
      <c r="H9" s="1216"/>
      <c r="I9" s="1216"/>
      <c r="J9" s="1217">
        <f>'Monthly Report '!E91</f>
        <v>3308.960216694562</v>
      </c>
      <c r="K9" s="1214"/>
      <c r="L9" s="1214"/>
    </row>
    <row r="10" spans="2:12">
      <c r="B10" s="1250" t="s">
        <v>581</v>
      </c>
      <c r="C10" s="1216"/>
      <c r="D10" s="1216"/>
      <c r="E10" s="1216"/>
      <c r="F10" s="1216"/>
      <c r="G10" s="1216"/>
      <c r="H10" s="1216"/>
      <c r="I10" s="1216"/>
      <c r="J10" s="1217">
        <f>'Monthly Report '!D91</f>
        <v>3001.5547348028454</v>
      </c>
      <c r="K10" s="1214"/>
      <c r="L10" s="1214"/>
    </row>
    <row r="11" spans="2:12">
      <c r="B11" s="1215"/>
      <c r="C11" s="1216"/>
      <c r="D11" s="1216"/>
      <c r="E11" s="1216"/>
      <c r="F11" s="1216"/>
      <c r="G11" s="1216"/>
      <c r="H11" s="1216"/>
      <c r="I11" s="1216"/>
      <c r="J11" s="1217"/>
      <c r="K11" s="1214"/>
      <c r="L11" s="1214"/>
    </row>
    <row r="12" spans="2:12" s="1223" customFormat="1">
      <c r="B12" s="1218" t="s">
        <v>582</v>
      </c>
      <c r="C12" s="1219"/>
      <c r="D12" s="1219"/>
      <c r="E12" s="1219"/>
      <c r="F12" s="1219"/>
      <c r="G12" s="1219"/>
      <c r="H12" s="1219"/>
      <c r="I12" s="1219"/>
      <c r="J12" s="1220">
        <f>J9-J10</f>
        <v>307.40548189171659</v>
      </c>
      <c r="K12" s="1221"/>
      <c r="L12" s="1222"/>
    </row>
    <row r="13" spans="2:12">
      <c r="J13" s="1214"/>
      <c r="K13" s="1214"/>
      <c r="L13" s="1214"/>
    </row>
    <row r="14" spans="2:12">
      <c r="B14" s="1740" t="s">
        <v>574</v>
      </c>
      <c r="C14" s="1741"/>
      <c r="D14" s="1741"/>
      <c r="E14" s="1741"/>
      <c r="F14" s="1741"/>
      <c r="G14" s="1741"/>
      <c r="H14" s="1742"/>
      <c r="I14" s="1251" t="s">
        <v>575</v>
      </c>
      <c r="J14" s="1252" t="s">
        <v>6</v>
      </c>
      <c r="K14" s="1225"/>
      <c r="L14" s="1226" t="s">
        <v>576</v>
      </c>
    </row>
    <row r="15" spans="2:12">
      <c r="B15" s="1227"/>
      <c r="C15" s="1228" t="s">
        <v>584</v>
      </c>
      <c r="D15" s="1229"/>
      <c r="E15" s="1229"/>
      <c r="F15" s="1229"/>
      <c r="G15" s="1229"/>
      <c r="H15" s="1229"/>
      <c r="I15" s="1230"/>
      <c r="J15" s="1230"/>
      <c r="K15" s="1225"/>
      <c r="L15" s="1231"/>
    </row>
    <row r="16" spans="2:12" s="1237" customFormat="1">
      <c r="B16" s="1232"/>
      <c r="C16" s="1233"/>
      <c r="D16" s="1233" t="s">
        <v>585</v>
      </c>
      <c r="E16" s="1233"/>
      <c r="F16" s="1233"/>
      <c r="G16" s="1233"/>
      <c r="H16" s="1233"/>
      <c r="I16" s="1234">
        <v>0.84599999999999997</v>
      </c>
      <c r="J16" s="1234">
        <f>J5/J7</f>
        <v>0.89001523622648371</v>
      </c>
      <c r="K16" s="1235"/>
      <c r="L16" s="1236">
        <f>J16-I16</f>
        <v>4.4015236226483734E-2</v>
      </c>
    </row>
    <row r="17" spans="2:12" s="1223" customFormat="1">
      <c r="B17" s="1238"/>
      <c r="C17" s="1239"/>
      <c r="D17" s="1239" t="s">
        <v>586</v>
      </c>
      <c r="E17" s="1239"/>
      <c r="F17" s="1239"/>
      <c r="G17" s="1239"/>
      <c r="H17" s="1239"/>
      <c r="I17" s="1240">
        <f>I16</f>
        <v>0.84599999999999997</v>
      </c>
      <c r="J17" s="1240">
        <f>(J5)/(J7+J12)</f>
        <v>0.86833599889986191</v>
      </c>
      <c r="K17" s="1241"/>
      <c r="L17" s="1236">
        <f>J17-I17</f>
        <v>2.2335998899861931E-2</v>
      </c>
    </row>
    <row r="18" spans="2:12" s="1223" customFormat="1">
      <c r="B18" s="1227"/>
      <c r="C18" s="1228" t="s">
        <v>587</v>
      </c>
      <c r="D18" s="1229"/>
      <c r="E18" s="1242"/>
      <c r="F18" s="1242"/>
      <c r="G18" s="1242"/>
      <c r="H18" s="1243"/>
      <c r="I18" s="1240"/>
      <c r="J18" s="1240"/>
      <c r="K18" s="1241"/>
      <c r="L18" s="1244"/>
    </row>
    <row r="19" spans="2:12" s="1237" customFormat="1">
      <c r="B19" s="1232"/>
      <c r="C19" s="1233"/>
      <c r="D19" s="1233" t="s">
        <v>588</v>
      </c>
      <c r="E19" s="1233"/>
      <c r="F19" s="1233"/>
      <c r="G19" s="1233"/>
      <c r="H19" s="1233"/>
      <c r="I19" s="1234">
        <v>0.27400000000000002</v>
      </c>
      <c r="J19" s="1234">
        <f>J6/J7</f>
        <v>0.28278233312433604</v>
      </c>
      <c r="K19" s="1235"/>
      <c r="L19" s="1236">
        <f>J19-I19</f>
        <v>8.782333124336017E-3</v>
      </c>
    </row>
    <row r="20" spans="2:12" s="1223" customFormat="1">
      <c r="B20" s="1238"/>
      <c r="C20" s="1239"/>
      <c r="D20" s="1239" t="s">
        <v>589</v>
      </c>
      <c r="E20" s="1239"/>
      <c r="F20" s="1239"/>
      <c r="G20" s="1239"/>
      <c r="H20" s="1239"/>
      <c r="I20" s="1240">
        <f>I19</f>
        <v>0.27400000000000002</v>
      </c>
      <c r="J20" s="1240">
        <f>(J6)/(J7+J12)</f>
        <v>0.27589424282874669</v>
      </c>
      <c r="K20" s="1241"/>
      <c r="L20" s="1236">
        <f>J20-I20</f>
        <v>1.8942428287466728E-3</v>
      </c>
    </row>
    <row r="21" spans="2:12">
      <c r="B21" s="1245"/>
      <c r="C21" s="1224"/>
      <c r="D21" s="1224"/>
      <c r="E21" s="1224"/>
      <c r="F21" s="1224"/>
      <c r="G21" s="1224"/>
      <c r="H21" s="1224"/>
      <c r="I21" s="1245"/>
      <c r="J21" s="1246"/>
      <c r="K21" s="1248"/>
      <c r="L21" s="1247"/>
    </row>
    <row r="22" spans="2:12">
      <c r="J22" s="203"/>
      <c r="K22" s="1214"/>
      <c r="L22" s="1214"/>
    </row>
    <row r="23" spans="2:12">
      <c r="J23" s="203"/>
      <c r="K23" s="1214"/>
      <c r="L23" s="1214"/>
    </row>
  </sheetData>
  <mergeCells count="2">
    <mergeCell ref="B14:H14"/>
    <mergeCell ref="B2:D2"/>
  </mergeCells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00B050"/>
    <pageSetUpPr fitToPage="1"/>
  </sheetPr>
  <dimension ref="A1:CH15803"/>
  <sheetViews>
    <sheetView showGridLines="0" tabSelected="1" zoomScale="85" zoomScaleNormal="85" workbookViewId="0">
      <pane xSplit="2" ySplit="8" topLeftCell="C9" activePane="bottomRight" state="frozen"/>
      <selection activeCell="M48" sqref="M48"/>
      <selection pane="topRight" activeCell="M48" sqref="M48"/>
      <selection pane="bottomLeft" activeCell="M48" sqref="M48"/>
      <selection pane="bottomRight" activeCell="N5" sqref="N5"/>
    </sheetView>
  </sheetViews>
  <sheetFormatPr defaultRowHeight="15" outlineLevelRow="1" outlineLevelCol="1"/>
  <cols>
    <col min="2" max="2" width="32.140625" customWidth="1"/>
    <col min="3" max="6" width="11.7109375" customWidth="1" outlineLevel="1"/>
    <col min="7" max="7" width="11.42578125" customWidth="1" outlineLevel="1"/>
    <col min="8" max="8" width="10.85546875" customWidth="1" outlineLevel="1"/>
    <col min="9" max="9" width="11.5703125" customWidth="1" outlineLevel="1"/>
    <col min="10" max="10" width="10.85546875" customWidth="1" outlineLevel="1"/>
    <col min="11" max="11" width="10.28515625" customWidth="1" outlineLevel="1"/>
    <col min="12" max="12" width="9.5703125" customWidth="1" outlineLevel="1"/>
    <col min="13" max="13" width="11.5703125" customWidth="1" outlineLevel="1"/>
    <col min="14" max="14" width="11.42578125" customWidth="1" outlineLevel="1"/>
    <col min="15" max="15" width="14.85546875" customWidth="1"/>
    <col min="16" max="16" width="12.5703125" customWidth="1"/>
    <col min="17" max="19" width="13" hidden="1" customWidth="1"/>
    <col min="20" max="20" width="13.140625" hidden="1" customWidth="1"/>
    <col min="21" max="21" width="12.85546875" hidden="1" customWidth="1"/>
    <col min="22" max="23" width="14.28515625" hidden="1" customWidth="1"/>
    <col min="24" max="24" width="12.140625" hidden="1" customWidth="1"/>
    <col min="25" max="25" width="20.85546875" bestFit="1" customWidth="1"/>
    <col min="26" max="26" width="13.7109375" customWidth="1"/>
    <col min="27" max="27" width="13.85546875" customWidth="1"/>
    <col min="29" max="29" width="36.5703125" bestFit="1" customWidth="1"/>
  </cols>
  <sheetData>
    <row r="1" spans="2:82">
      <c r="Y1" s="1556"/>
    </row>
    <row r="2" spans="2:82" ht="22.5">
      <c r="B2" s="50"/>
      <c r="C2" s="50"/>
      <c r="D2" s="50"/>
      <c r="E2" s="51" t="s">
        <v>637</v>
      </c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2"/>
      <c r="U2" s="50"/>
      <c r="V2" s="50"/>
      <c r="Y2" s="1556"/>
    </row>
    <row r="3" spans="2:82">
      <c r="B3" s="50"/>
      <c r="C3" s="50"/>
      <c r="D3" s="50"/>
      <c r="E3" s="50"/>
      <c r="F3" s="50"/>
      <c r="G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2"/>
      <c r="U3" s="50"/>
      <c r="V3" s="50"/>
    </row>
    <row r="4" spans="2:82">
      <c r="B4" s="50"/>
      <c r="C4" s="50"/>
      <c r="D4" s="50"/>
      <c r="E4" s="50"/>
      <c r="F4" s="50"/>
      <c r="G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</row>
    <row r="5" spans="2:82" ht="18">
      <c r="B5" s="53" t="s">
        <v>40</v>
      </c>
      <c r="C5" s="1271">
        <f>ROUNDUP(150000/7704*24*1.05,0)</f>
        <v>491</v>
      </c>
      <c r="D5" s="50" t="s">
        <v>41</v>
      </c>
      <c r="E5" s="1344">
        <v>43800</v>
      </c>
      <c r="F5" s="50"/>
      <c r="G5" s="50"/>
      <c r="H5" s="50"/>
      <c r="I5" s="50"/>
      <c r="J5" s="50"/>
      <c r="K5" s="50"/>
      <c r="L5" s="50"/>
      <c r="M5" s="50"/>
      <c r="N5" s="50"/>
      <c r="O5" s="1037">
        <f>LOOKUP('Monthly Report '!H4,YearUpdate,$C$28:$N$28)</f>
        <v>0</v>
      </c>
      <c r="P5" s="1176"/>
      <c r="Q5" s="1176"/>
      <c r="R5" s="727"/>
      <c r="S5" s="727"/>
      <c r="T5" s="50"/>
      <c r="U5" s="50"/>
      <c r="V5" s="50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852"/>
      <c r="AP5" s="852"/>
      <c r="AQ5" s="852"/>
      <c r="AR5" s="852"/>
      <c r="AS5" s="852"/>
      <c r="AT5" s="852"/>
      <c r="AU5" s="852"/>
      <c r="AV5" s="852"/>
      <c r="AW5" s="852"/>
      <c r="AX5" s="852"/>
      <c r="AY5" s="852"/>
      <c r="AZ5" s="852"/>
      <c r="BA5" s="852"/>
      <c r="BB5" s="852"/>
      <c r="BC5" s="852"/>
      <c r="BD5" s="852"/>
      <c r="BE5" s="852"/>
      <c r="BF5" s="852"/>
      <c r="BG5" s="852"/>
      <c r="BH5" s="852"/>
      <c r="BI5" s="852"/>
      <c r="BJ5" s="852"/>
      <c r="BK5" s="852"/>
      <c r="BL5" s="852"/>
      <c r="BM5" s="852"/>
      <c r="BN5" s="852"/>
      <c r="BO5" s="852"/>
      <c r="BP5" s="852"/>
      <c r="BQ5" s="852"/>
      <c r="BR5" s="852"/>
      <c r="BS5" s="852"/>
      <c r="BT5" s="852"/>
      <c r="BU5" s="852"/>
      <c r="BV5" s="852"/>
      <c r="BW5" s="852"/>
      <c r="BX5" s="852"/>
      <c r="BY5" s="852"/>
      <c r="BZ5" s="852"/>
      <c r="CA5" s="852"/>
      <c r="CB5" s="852"/>
      <c r="CC5" s="852"/>
      <c r="CD5" s="852"/>
    </row>
    <row r="6" spans="2:82">
      <c r="B6" s="53"/>
      <c r="C6" s="1183"/>
      <c r="D6" s="1183"/>
      <c r="E6" s="1183"/>
      <c r="F6" s="1183"/>
      <c r="G6" s="1183"/>
      <c r="H6" s="1183"/>
      <c r="I6" s="1183"/>
      <c r="J6" s="1183"/>
      <c r="K6" s="1183"/>
      <c r="L6" s="1183"/>
      <c r="M6" s="1183"/>
      <c r="N6" s="1183"/>
      <c r="O6" s="50"/>
      <c r="P6" s="1273"/>
      <c r="Q6" s="50"/>
      <c r="R6" s="50"/>
      <c r="S6" s="50"/>
      <c r="T6" s="50"/>
      <c r="U6" s="50"/>
      <c r="V6" s="50"/>
      <c r="AA6" s="852"/>
      <c r="AB6" s="852"/>
      <c r="AC6" s="852"/>
      <c r="AD6" s="852"/>
      <c r="AE6" s="852"/>
      <c r="AF6" s="852"/>
      <c r="AG6" s="852"/>
      <c r="AH6" s="852"/>
      <c r="AI6" s="852"/>
      <c r="AJ6" s="852"/>
      <c r="AK6" s="852"/>
      <c r="AL6" s="852"/>
      <c r="AM6" s="852"/>
      <c r="AN6" s="852"/>
      <c r="AO6" s="852"/>
      <c r="AP6" s="852"/>
      <c r="AQ6" s="852"/>
      <c r="AR6" s="852"/>
      <c r="AS6" s="852"/>
      <c r="AT6" s="852"/>
      <c r="AU6" s="852"/>
      <c r="AV6" s="852"/>
      <c r="AW6" s="852"/>
      <c r="AX6" s="852"/>
      <c r="AY6" s="852"/>
      <c r="AZ6" s="852"/>
      <c r="BA6" s="852"/>
      <c r="BB6" s="852"/>
      <c r="BC6" s="852"/>
      <c r="BD6" s="852"/>
      <c r="BE6" s="852"/>
      <c r="BF6" s="852"/>
      <c r="BG6" s="852"/>
      <c r="BH6" s="852"/>
      <c r="BI6" s="852"/>
      <c r="BJ6" s="852"/>
      <c r="BK6" s="852"/>
      <c r="BL6" s="852"/>
      <c r="BM6" s="852"/>
      <c r="BN6" s="852"/>
      <c r="BO6" s="852"/>
      <c r="BP6" s="852"/>
      <c r="BQ6" s="852"/>
      <c r="BR6" s="852"/>
      <c r="BS6" s="852"/>
      <c r="BT6" s="852"/>
      <c r="BU6" s="852"/>
      <c r="BV6" s="852"/>
      <c r="BW6" s="852"/>
      <c r="BX6" s="852"/>
      <c r="BY6" s="852"/>
      <c r="BZ6" s="852"/>
      <c r="CA6" s="852"/>
      <c r="CB6" s="852"/>
      <c r="CC6" s="852"/>
      <c r="CD6" s="852"/>
    </row>
    <row r="7" spans="2:82">
      <c r="B7" s="54"/>
      <c r="C7" s="1746" t="s">
        <v>638</v>
      </c>
      <c r="D7" s="1746"/>
      <c r="E7" s="1746"/>
      <c r="F7" s="1746"/>
      <c r="G7" s="1746"/>
      <c r="H7" s="1746"/>
      <c r="I7" s="1746"/>
      <c r="J7" s="1746"/>
      <c r="K7" s="1746"/>
      <c r="L7" s="1746"/>
      <c r="M7" s="1746"/>
      <c r="N7" s="1746"/>
      <c r="O7" s="1747" t="s">
        <v>42</v>
      </c>
      <c r="P7" s="1748" t="s">
        <v>624</v>
      </c>
      <c r="Q7" s="1748" t="s">
        <v>571</v>
      </c>
      <c r="R7" s="1748" t="s">
        <v>467</v>
      </c>
      <c r="S7" s="1748" t="s">
        <v>433</v>
      </c>
      <c r="T7" s="1748" t="s">
        <v>399</v>
      </c>
      <c r="U7" s="1748" t="s">
        <v>314</v>
      </c>
      <c r="V7" s="1748" t="s">
        <v>208</v>
      </c>
      <c r="W7" s="1748" t="s">
        <v>43</v>
      </c>
      <c r="X7" s="50"/>
      <c r="AA7" s="852"/>
      <c r="AB7" s="852"/>
      <c r="AC7" s="852"/>
      <c r="AD7" s="852"/>
      <c r="AE7" s="852"/>
      <c r="AF7" s="852"/>
      <c r="AG7" s="852"/>
      <c r="AH7" s="852"/>
      <c r="AI7" s="852"/>
      <c r="AJ7" s="852"/>
      <c r="AK7" s="852"/>
      <c r="AL7" s="852"/>
      <c r="AM7" s="852"/>
      <c r="AN7" s="852"/>
      <c r="AO7" s="852"/>
      <c r="AP7" s="852"/>
      <c r="AQ7" s="852"/>
      <c r="AR7" s="852"/>
      <c r="AS7" s="852"/>
      <c r="AT7" s="852"/>
      <c r="AU7" s="852"/>
      <c r="AV7" s="852"/>
      <c r="AW7" s="852"/>
      <c r="AX7" s="852"/>
      <c r="AY7" s="852"/>
      <c r="AZ7" s="852"/>
      <c r="BA7" s="852"/>
      <c r="BB7" s="852"/>
      <c r="BC7" s="852"/>
      <c r="BD7" s="852"/>
      <c r="BE7" s="852"/>
      <c r="BF7" s="852"/>
      <c r="BG7" s="852"/>
      <c r="BH7" s="852"/>
      <c r="BI7" s="852"/>
      <c r="BJ7" s="852"/>
      <c r="BK7" s="852"/>
      <c r="BL7" s="852"/>
      <c r="BM7" s="852"/>
      <c r="BN7" s="852"/>
      <c r="BO7" s="852"/>
      <c r="BP7" s="852"/>
      <c r="BQ7" s="852"/>
      <c r="BR7" s="852"/>
      <c r="BS7" s="852"/>
      <c r="BT7" s="852"/>
      <c r="BU7" s="852"/>
      <c r="BV7" s="852"/>
      <c r="BW7" s="852"/>
      <c r="BX7" s="852"/>
      <c r="BY7" s="852"/>
      <c r="BZ7" s="852"/>
      <c r="CA7" s="852"/>
      <c r="CB7" s="852"/>
      <c r="CC7" s="852"/>
      <c r="CD7" s="852"/>
    </row>
    <row r="8" spans="2:82">
      <c r="B8" s="55"/>
      <c r="C8" s="1289">
        <v>43466</v>
      </c>
      <c r="D8" s="1289">
        <v>43497</v>
      </c>
      <c r="E8" s="1289">
        <v>43525</v>
      </c>
      <c r="F8" s="1289">
        <v>43556</v>
      </c>
      <c r="G8" s="1289">
        <v>43586</v>
      </c>
      <c r="H8" s="1289">
        <v>43617</v>
      </c>
      <c r="I8" s="1289">
        <v>43647</v>
      </c>
      <c r="J8" s="1289">
        <v>43678</v>
      </c>
      <c r="K8" s="1289">
        <v>43709</v>
      </c>
      <c r="L8" s="1289">
        <v>43739</v>
      </c>
      <c r="M8" s="1289">
        <v>43770</v>
      </c>
      <c r="N8" s="1289">
        <v>43800</v>
      </c>
      <c r="O8" s="1747"/>
      <c r="P8" s="1748"/>
      <c r="Q8" s="1748"/>
      <c r="R8" s="1748"/>
      <c r="S8" s="1748"/>
      <c r="T8" s="1748"/>
      <c r="U8" s="1748"/>
      <c r="V8" s="1748"/>
      <c r="W8" s="1748"/>
      <c r="X8" s="50"/>
      <c r="AA8" s="852"/>
      <c r="AB8" s="852"/>
      <c r="AC8" s="852"/>
      <c r="AD8" s="852"/>
      <c r="AE8" s="852"/>
      <c r="AF8" s="852"/>
      <c r="AG8" s="852"/>
      <c r="AH8" s="852"/>
      <c r="AI8" s="852"/>
      <c r="AJ8" s="852"/>
      <c r="AK8" s="852"/>
      <c r="AL8" s="852"/>
      <c r="AM8" s="852"/>
      <c r="AN8" s="852"/>
      <c r="AO8" s="852"/>
      <c r="AP8" s="852"/>
      <c r="AQ8" s="852"/>
      <c r="AR8" s="852"/>
      <c r="AS8" s="852"/>
      <c r="AT8" s="852"/>
      <c r="AU8" s="852"/>
      <c r="AV8" s="852"/>
      <c r="AW8" s="852"/>
      <c r="AX8" s="852"/>
      <c r="AY8" s="852"/>
      <c r="AZ8" s="852"/>
      <c r="BA8" s="852"/>
      <c r="BB8" s="852"/>
      <c r="BC8" s="852"/>
      <c r="BD8" s="852"/>
      <c r="BE8" s="852"/>
      <c r="BF8" s="852"/>
      <c r="BG8" s="852"/>
      <c r="BH8" s="852"/>
      <c r="BI8" s="852"/>
      <c r="BJ8" s="852"/>
      <c r="BK8" s="852"/>
      <c r="BL8" s="852"/>
      <c r="BM8" s="852"/>
      <c r="BN8" s="852"/>
      <c r="BO8" s="852"/>
      <c r="BP8" s="852"/>
      <c r="BQ8" s="852"/>
      <c r="BR8" s="852"/>
      <c r="BS8" s="852"/>
      <c r="BT8" s="852"/>
      <c r="BU8" s="852"/>
      <c r="BV8" s="852"/>
      <c r="BW8" s="852"/>
      <c r="BX8" s="852"/>
      <c r="BY8" s="852"/>
      <c r="BZ8" s="852"/>
      <c r="CA8" s="852"/>
      <c r="CB8" s="852"/>
      <c r="CC8" s="852"/>
      <c r="CD8" s="852"/>
    </row>
    <row r="9" spans="2:82">
      <c r="B9" s="1487" t="s">
        <v>617</v>
      </c>
      <c r="C9" s="1202">
        <v>0.99585178371986083</v>
      </c>
      <c r="D9" s="1202">
        <v>0.99472432353796914</v>
      </c>
      <c r="E9" s="1202">
        <v>1.0130655016096184</v>
      </c>
      <c r="F9" s="1202">
        <v>0.84300339443312966</v>
      </c>
      <c r="G9" s="1202">
        <v>1.0164266473950461</v>
      </c>
      <c r="H9" s="1202">
        <v>0.98842362525458272</v>
      </c>
      <c r="I9" s="1202">
        <v>1.0117981735759809</v>
      </c>
      <c r="J9" s="1202">
        <v>0.95052953156822784</v>
      </c>
      <c r="K9" s="1202">
        <v>0.77804344874405984</v>
      </c>
      <c r="L9" s="1202">
        <v>0.93629459299651785</v>
      </c>
      <c r="M9" s="1544">
        <v>0.99034080108621869</v>
      </c>
      <c r="N9" s="1544">
        <f>IF(N$15/(491*N$24)&lt;0.01,"",(N$15/(491*N$24)))</f>
        <v>0.83116483805269037</v>
      </c>
      <c r="O9" s="1422">
        <f>O15/(LOOKUP(E5,YearUpdate,Accru_Day)*$C$5)</f>
        <v>0.94590597885221661</v>
      </c>
      <c r="P9" s="1274">
        <v>1</v>
      </c>
      <c r="Q9" s="321">
        <v>1.04</v>
      </c>
      <c r="R9" s="321">
        <v>1.0757472214435795</v>
      </c>
      <c r="S9" s="321">
        <f>S15/150000</f>
        <v>1.0467228485981308</v>
      </c>
      <c r="T9" s="321">
        <f>T15/150000</f>
        <v>1.0096006230529593</v>
      </c>
      <c r="U9" s="321">
        <v>0.98411333333333328</v>
      </c>
      <c r="V9" s="321">
        <v>0.97509999999999997</v>
      </c>
      <c r="W9" s="321">
        <v>0.92520000000000002</v>
      </c>
      <c r="X9" s="90"/>
      <c r="Y9" s="293"/>
      <c r="AA9" s="852"/>
      <c r="AB9" s="852"/>
      <c r="AC9" s="852"/>
      <c r="AD9" s="852"/>
      <c r="AE9" s="852"/>
      <c r="AF9" s="852"/>
      <c r="AG9" s="852"/>
      <c r="AH9" s="852"/>
      <c r="AI9" s="852"/>
      <c r="AJ9" s="852"/>
      <c r="AK9" s="852"/>
      <c r="AL9" s="852"/>
      <c r="AM9" s="852"/>
      <c r="AN9" s="852"/>
      <c r="AO9" s="852"/>
      <c r="AP9" s="852"/>
      <c r="AQ9" s="852"/>
      <c r="AR9" s="852"/>
      <c r="AS9" s="852"/>
      <c r="AT9" s="852"/>
      <c r="AU9" s="852"/>
      <c r="AV9" s="852"/>
      <c r="AW9" s="852"/>
      <c r="AX9" s="852"/>
      <c r="AY9" s="852"/>
      <c r="AZ9" s="852"/>
      <c r="BA9" s="852"/>
      <c r="BB9" s="852"/>
      <c r="BC9" s="852"/>
      <c r="BD9" s="852"/>
      <c r="BE9" s="852"/>
      <c r="BF9" s="852"/>
      <c r="BG9" s="852"/>
      <c r="BH9" s="852"/>
      <c r="BI9" s="852"/>
      <c r="BJ9" s="852"/>
      <c r="BK9" s="852"/>
      <c r="BL9" s="852"/>
      <c r="BM9" s="852"/>
      <c r="BN9" s="852"/>
      <c r="BO9" s="852"/>
      <c r="BP9" s="852"/>
      <c r="BQ9" s="852"/>
      <c r="BR9" s="852"/>
      <c r="BS9" s="852"/>
      <c r="BT9" s="852"/>
      <c r="BU9" s="852"/>
      <c r="BV9" s="852"/>
      <c r="BW9" s="852"/>
      <c r="BX9" s="852"/>
      <c r="BY9" s="852"/>
      <c r="BZ9" s="852"/>
      <c r="CA9" s="852"/>
      <c r="CB9" s="852"/>
      <c r="CC9" s="852"/>
      <c r="CD9" s="852"/>
    </row>
    <row r="10" spans="2:82">
      <c r="B10" s="1487" t="s">
        <v>568</v>
      </c>
      <c r="C10" s="1367">
        <f t="shared" ref="C10:K10" si="0">IF(C$15/(491*(C$25))&lt;0.01,"",(C$15/(491*C$25)))</f>
        <v>0.99585178371986083</v>
      </c>
      <c r="D10" s="1367">
        <f t="shared" si="0"/>
        <v>0.99472432353796914</v>
      </c>
      <c r="E10" s="1367">
        <f t="shared" si="0"/>
        <v>1.0130655016096184</v>
      </c>
      <c r="F10" s="1367">
        <f t="shared" si="0"/>
        <v>1.0386078781516999</v>
      </c>
      <c r="G10" s="1367">
        <f t="shared" si="0"/>
        <v>1.0164266473950461</v>
      </c>
      <c r="H10" s="1367">
        <f t="shared" si="0"/>
        <v>0.98842362525458272</v>
      </c>
      <c r="I10" s="1367">
        <f t="shared" si="0"/>
        <v>1.0117981735759809</v>
      </c>
      <c r="J10" s="1367">
        <f t="shared" si="0"/>
        <v>0.95052953156822784</v>
      </c>
      <c r="K10" s="1367">
        <f t="shared" si="0"/>
        <v>0.86449272082673323</v>
      </c>
      <c r="L10" s="1367">
        <v>0.96271313212865783</v>
      </c>
      <c r="M10" s="1545">
        <v>0.99034080108621869</v>
      </c>
      <c r="N10" s="1545">
        <f>IF(N$15/(491*(N$25-N28))&lt;0.01,"",(N$15/(491*N$25-N28)))</f>
        <v>0.93130517998674944</v>
      </c>
      <c r="O10" s="1422">
        <f>O15/(LOOKUP(E5,YearUpdate,Act_Accrday)*$C$5)</f>
        <v>0.98037774661317401</v>
      </c>
      <c r="P10" s="1274"/>
      <c r="Q10" s="321"/>
      <c r="R10" s="321"/>
      <c r="S10" s="321"/>
      <c r="T10" s="321"/>
      <c r="U10" s="321"/>
      <c r="V10" s="321"/>
      <c r="W10" s="321"/>
      <c r="X10" s="90"/>
      <c r="Y10" s="293"/>
      <c r="AA10" s="852"/>
      <c r="AB10" s="852"/>
      <c r="AC10" s="852"/>
      <c r="AD10" s="852"/>
      <c r="AE10" s="852"/>
      <c r="AF10" s="852"/>
      <c r="AG10" s="852"/>
      <c r="AH10" s="852"/>
      <c r="AI10" s="852"/>
      <c r="AJ10" s="852"/>
      <c r="AK10" s="852"/>
      <c r="AL10" s="852"/>
      <c r="AM10" s="852"/>
      <c r="AN10" s="852"/>
      <c r="AO10" s="852"/>
      <c r="AP10" s="852"/>
      <c r="AQ10" s="852"/>
      <c r="AR10" s="852"/>
      <c r="AS10" s="852"/>
      <c r="AT10" s="852"/>
      <c r="AU10" s="852"/>
      <c r="AV10" s="852"/>
      <c r="AW10" s="852"/>
      <c r="AX10" s="852"/>
      <c r="AY10" s="852"/>
      <c r="AZ10" s="852"/>
      <c r="BA10" s="852"/>
      <c r="BB10" s="852"/>
      <c r="BC10" s="852"/>
      <c r="BD10" s="852"/>
      <c r="BE10" s="852"/>
      <c r="BF10" s="852"/>
      <c r="BG10" s="852"/>
      <c r="BH10" s="852"/>
      <c r="BI10" s="852"/>
      <c r="BJ10" s="852"/>
      <c r="BK10" s="852"/>
      <c r="BL10" s="852"/>
      <c r="BM10" s="852"/>
      <c r="BN10" s="852"/>
      <c r="BO10" s="852"/>
      <c r="BP10" s="852"/>
      <c r="BQ10" s="852"/>
      <c r="BR10" s="852"/>
      <c r="BS10" s="852"/>
      <c r="BT10" s="852"/>
      <c r="BU10" s="852"/>
      <c r="BV10" s="852"/>
      <c r="BW10" s="852"/>
      <c r="BX10" s="852"/>
      <c r="BY10" s="852"/>
      <c r="BZ10" s="852"/>
      <c r="CA10" s="852"/>
      <c r="CB10" s="852"/>
      <c r="CC10" s="852"/>
      <c r="CD10" s="852"/>
    </row>
    <row r="11" spans="2:82" ht="12.75" hidden="1" customHeight="1">
      <c r="B11" s="1488" t="s">
        <v>572</v>
      </c>
      <c r="C11" s="1285">
        <v>1.0002949308755762</v>
      </c>
      <c r="D11" s="1285">
        <v>0.99925510204081636</v>
      </c>
      <c r="E11" s="1285">
        <v>1.0002949308755762</v>
      </c>
      <c r="F11" s="1285">
        <v>1.2319976532707539</v>
      </c>
      <c r="G11" s="1285">
        <v>0.9461013824884793</v>
      </c>
      <c r="H11" s="1285">
        <v>0.99885714285714289</v>
      </c>
      <c r="I11" s="1285">
        <v>1.0002949308755762</v>
      </c>
      <c r="J11" s="1285">
        <v>1.0002949308755762</v>
      </c>
      <c r="K11" s="1285">
        <v>1.0488571428571429</v>
      </c>
      <c r="L11" s="1285">
        <v>1.0002949308755762</v>
      </c>
      <c r="M11" s="1285">
        <v>1</v>
      </c>
      <c r="N11" s="1285">
        <f>N$13/($C$5*(N24-N28))</f>
        <v>1.0002949308755762</v>
      </c>
      <c r="O11" s="1423">
        <f ca="1">O$13/(491*O25-O28)</f>
        <v>1.0184311441532545</v>
      </c>
      <c r="P11" s="1275"/>
      <c r="Q11" s="1184"/>
      <c r="R11" s="1184"/>
      <c r="S11" s="1184"/>
      <c r="T11" s="1184"/>
      <c r="U11" s="1184"/>
      <c r="V11" s="1184"/>
      <c r="W11" s="1184"/>
      <c r="X11" s="90"/>
      <c r="Y11" s="293"/>
      <c r="AA11" s="852"/>
      <c r="AB11" s="852"/>
      <c r="AC11" s="852"/>
      <c r="AD11" s="852"/>
      <c r="AE11" s="852"/>
      <c r="AF11" s="852"/>
      <c r="AG11" s="852"/>
      <c r="AH11" s="852"/>
      <c r="AI11" s="852"/>
      <c r="AJ11" s="852"/>
      <c r="AK11" s="852"/>
      <c r="AL11" s="852"/>
      <c r="AM11" s="852"/>
      <c r="AN11" s="852"/>
      <c r="AO11" s="852"/>
      <c r="AP11" s="852"/>
      <c r="AQ11" s="852"/>
      <c r="AR11" s="852"/>
      <c r="AS11" s="852"/>
      <c r="AT11" s="852"/>
      <c r="AU11" s="852"/>
      <c r="AV11" s="852"/>
      <c r="AW11" s="852"/>
      <c r="AX11" s="852"/>
      <c r="AY11" s="852"/>
      <c r="AZ11" s="852"/>
      <c r="BA11" s="852"/>
      <c r="BB11" s="852"/>
      <c r="BC11" s="852"/>
      <c r="BD11" s="852"/>
      <c r="BE11" s="852"/>
      <c r="BF11" s="852"/>
      <c r="BG11" s="852"/>
      <c r="BH11" s="852"/>
      <c r="BI11" s="852"/>
      <c r="BJ11" s="852"/>
      <c r="BK11" s="852"/>
      <c r="BL11" s="852"/>
      <c r="BM11" s="852"/>
      <c r="BN11" s="852"/>
      <c r="BO11" s="852"/>
      <c r="BP11" s="852"/>
      <c r="BQ11" s="852"/>
      <c r="BR11" s="852"/>
      <c r="BS11" s="852"/>
      <c r="BT11" s="852"/>
      <c r="BU11" s="852"/>
      <c r="BV11" s="852"/>
      <c r="BW11" s="852"/>
      <c r="BX11" s="852"/>
      <c r="BY11" s="852"/>
      <c r="BZ11" s="852"/>
      <c r="CA11" s="852"/>
      <c r="CB11" s="852"/>
      <c r="CC11" s="852"/>
      <c r="CD11" s="852"/>
    </row>
    <row r="12" spans="2:82" ht="12.75" hidden="1" customHeight="1">
      <c r="B12" s="1489" t="s">
        <v>593</v>
      </c>
      <c r="C12" s="1483">
        <v>0.99139346954864993</v>
      </c>
      <c r="D12" s="1483">
        <v>1</v>
      </c>
      <c r="E12" s="1483">
        <v>1</v>
      </c>
      <c r="F12" s="1483">
        <v>1.2320328542094456</v>
      </c>
      <c r="G12" s="1483">
        <v>0.9648387096774188</v>
      </c>
      <c r="H12" s="1483">
        <v>1</v>
      </c>
      <c r="I12" s="1483">
        <v>1</v>
      </c>
      <c r="J12" s="1483">
        <v>1</v>
      </c>
      <c r="K12" s="1483">
        <v>1.0803703703703704</v>
      </c>
      <c r="L12" s="1483">
        <v>1</v>
      </c>
      <c r="M12" s="1483">
        <v>1</v>
      </c>
      <c r="N12" s="1483">
        <f>N$14/($C$5*(N24-N28))</f>
        <v>1</v>
      </c>
      <c r="O12" s="1484">
        <f ca="1">O$14/(491*O25-O28)</f>
        <v>1.0217325599365099</v>
      </c>
      <c r="P12" s="1275"/>
      <c r="Q12" s="1184"/>
      <c r="R12" s="1184"/>
      <c r="S12" s="1184"/>
      <c r="T12" s="1184"/>
      <c r="U12" s="1184"/>
      <c r="V12" s="1184"/>
      <c r="W12" s="1184"/>
      <c r="X12" s="90"/>
      <c r="Y12" s="293"/>
      <c r="AA12" s="852"/>
      <c r="AB12" s="852"/>
      <c r="AC12" s="852"/>
      <c r="AD12" s="852"/>
      <c r="AE12" s="852"/>
      <c r="AF12" s="852"/>
      <c r="AG12" s="852"/>
      <c r="AH12" s="852"/>
      <c r="AI12" s="852"/>
      <c r="AJ12" s="852"/>
      <c r="AK12" s="852"/>
      <c r="AL12" s="852"/>
      <c r="AM12" s="852"/>
      <c r="AN12" s="852"/>
      <c r="AO12" s="852"/>
      <c r="AP12" s="852"/>
      <c r="AQ12" s="852"/>
      <c r="AR12" s="852"/>
      <c r="AS12" s="852"/>
      <c r="AT12" s="852"/>
      <c r="AU12" s="852"/>
      <c r="AV12" s="852"/>
      <c r="AW12" s="852"/>
      <c r="AX12" s="852"/>
      <c r="AY12" s="852"/>
      <c r="AZ12" s="852"/>
      <c r="BA12" s="852"/>
      <c r="BB12" s="852"/>
      <c r="BC12" s="852"/>
      <c r="BD12" s="852"/>
      <c r="BE12" s="852"/>
      <c r="BF12" s="852"/>
      <c r="BG12" s="852"/>
      <c r="BH12" s="852"/>
      <c r="BI12" s="852"/>
      <c r="BJ12" s="852"/>
      <c r="BK12" s="852"/>
      <c r="BL12" s="852"/>
      <c r="BM12" s="852"/>
      <c r="BN12" s="852"/>
      <c r="BO12" s="852"/>
      <c r="BP12" s="852"/>
      <c r="BQ12" s="852"/>
      <c r="BR12" s="852"/>
      <c r="BS12" s="852"/>
      <c r="BT12" s="852"/>
      <c r="BU12" s="852"/>
      <c r="BV12" s="852"/>
      <c r="BW12" s="852"/>
      <c r="BX12" s="852"/>
      <c r="BY12" s="852"/>
      <c r="BZ12" s="852"/>
      <c r="CA12" s="852"/>
      <c r="CB12" s="852"/>
      <c r="CC12" s="852"/>
      <c r="CD12" s="852"/>
    </row>
    <row r="13" spans="2:82" s="1281" customFormat="1" ht="12.75" hidden="1" customHeight="1">
      <c r="B13" s="1488" t="s">
        <v>573</v>
      </c>
      <c r="C13" s="1404">
        <v>15225.489142857145</v>
      </c>
      <c r="D13" s="1404">
        <v>13737.759142857143</v>
      </c>
      <c r="E13" s="1404">
        <v>15225.489142857145</v>
      </c>
      <c r="F13" s="1404">
        <v>14729.579142857143</v>
      </c>
      <c r="G13" s="1404">
        <v>14400.609142857144</v>
      </c>
      <c r="H13" s="1404">
        <v>13241.849142857143</v>
      </c>
      <c r="I13" s="1404">
        <v>15225.489142857145</v>
      </c>
      <c r="J13" s="1404">
        <v>15225.489142857145</v>
      </c>
      <c r="K13" s="1404">
        <v>13904.699142857144</v>
      </c>
      <c r="L13" s="1404">
        <v>15225.489142857145</v>
      </c>
      <c r="M13" s="1404">
        <v>14730</v>
      </c>
      <c r="N13" s="1404">
        <v>15225.489142857145</v>
      </c>
      <c r="O13" s="1424">
        <f t="shared" ref="O13:O22" si="1">SUM(C13:N13)</f>
        <v>176097.43057142859</v>
      </c>
      <c r="P13" s="1277"/>
      <c r="Q13" s="1278"/>
      <c r="R13" s="1278"/>
      <c r="S13" s="1278"/>
      <c r="T13" s="1278"/>
      <c r="U13" s="1278"/>
      <c r="V13" s="1278"/>
      <c r="W13" s="1278"/>
      <c r="X13" s="1279"/>
      <c r="Y13" s="1280"/>
    </row>
    <row r="14" spans="2:82" s="1281" customFormat="1" ht="12.75" hidden="1" customHeight="1">
      <c r="B14" s="1489" t="s">
        <v>592</v>
      </c>
      <c r="C14" s="1485">
        <v>15090</v>
      </c>
      <c r="D14" s="1485">
        <v>13748</v>
      </c>
      <c r="E14" s="1485">
        <v>15221</v>
      </c>
      <c r="F14" s="1485">
        <v>14730</v>
      </c>
      <c r="G14" s="1485">
        <v>14685.809999999992</v>
      </c>
      <c r="H14" s="1485">
        <v>13257</v>
      </c>
      <c r="I14" s="1485">
        <v>15221</v>
      </c>
      <c r="J14" s="1485">
        <v>15221</v>
      </c>
      <c r="K14" s="1485">
        <v>14322.470000000001</v>
      </c>
      <c r="L14" s="1485">
        <v>15221</v>
      </c>
      <c r="M14" s="1485">
        <v>14730</v>
      </c>
      <c r="N14" s="1485">
        <v>15221</v>
      </c>
      <c r="O14" s="1486">
        <f t="shared" si="1"/>
        <v>176668.28</v>
      </c>
      <c r="P14" s="1277"/>
      <c r="Q14" s="1278"/>
      <c r="R14" s="1278"/>
      <c r="S14" s="1278"/>
      <c r="T14" s="1278"/>
      <c r="U14" s="1278"/>
      <c r="V14" s="1278"/>
      <c r="W14" s="1278"/>
      <c r="X14" s="1279"/>
      <c r="Y14" s="1280"/>
    </row>
    <row r="15" spans="2:82">
      <c r="B15" s="1490" t="s">
        <v>594</v>
      </c>
      <c r="C15" s="1293">
        <v>15157.860000000002</v>
      </c>
      <c r="D15" s="1293">
        <v>13675.47</v>
      </c>
      <c r="E15" s="1293">
        <v>15419.870000000003</v>
      </c>
      <c r="F15" s="1293">
        <v>12417.44</v>
      </c>
      <c r="G15" s="1293">
        <v>15471.029999999995</v>
      </c>
      <c r="H15" s="1293">
        <v>14559.480000000003</v>
      </c>
      <c r="I15" s="1293">
        <v>15400.580000000005</v>
      </c>
      <c r="J15" s="1293">
        <v>14468.009999999997</v>
      </c>
      <c r="K15" s="1293">
        <v>11460.580000000002</v>
      </c>
      <c r="L15" s="1293">
        <v>14251.339999999998</v>
      </c>
      <c r="M15" s="1293">
        <v>14587.720000000001</v>
      </c>
      <c r="N15" s="1293">
        <f>IF($E$5=N8,'Monthly Report '!$T$31,)</f>
        <v>12651.16</v>
      </c>
      <c r="O15" s="1425">
        <f>SUM(C15:N15)</f>
        <v>169520.54</v>
      </c>
      <c r="P15" s="1276">
        <v>176097.43057142859</v>
      </c>
      <c r="Q15" s="59">
        <v>167220.29906542058</v>
      </c>
      <c r="R15" s="59">
        <v>163191.35617860852</v>
      </c>
      <c r="S15" s="59">
        <v>157008.42728971964</v>
      </c>
      <c r="T15" s="59">
        <v>151440.09345794391</v>
      </c>
      <c r="U15" s="59">
        <v>147617</v>
      </c>
      <c r="V15" s="59">
        <v>146261.68224299065</v>
      </c>
      <c r="W15" s="59">
        <v>138785.046728972</v>
      </c>
      <c r="X15" s="322"/>
      <c r="Y15" s="1366">
        <f>P15-O15</f>
        <v>6576.8905714285793</v>
      </c>
      <c r="AA15" s="852"/>
      <c r="AB15" s="852"/>
      <c r="AC15" s="852"/>
      <c r="AD15" s="852"/>
      <c r="AE15" s="852"/>
      <c r="AF15" s="852"/>
      <c r="AG15" s="852"/>
      <c r="AH15" s="852"/>
      <c r="AI15" s="852"/>
      <c r="AJ15" s="852"/>
      <c r="AK15" s="852"/>
      <c r="AL15" s="852"/>
      <c r="AM15" s="852"/>
      <c r="AN15" s="852"/>
      <c r="AO15" s="852"/>
      <c r="AP15" s="852"/>
      <c r="AQ15" s="852"/>
      <c r="AR15" s="852"/>
      <c r="AS15" s="852"/>
      <c r="AT15" s="852"/>
      <c r="AU15" s="852"/>
      <c r="AV15" s="852"/>
      <c r="AW15" s="852"/>
      <c r="AX15" s="852"/>
      <c r="AY15" s="852"/>
      <c r="AZ15" s="852"/>
      <c r="BA15" s="852"/>
      <c r="BB15" s="852"/>
      <c r="BC15" s="852"/>
      <c r="BD15" s="852"/>
      <c r="BE15" s="852"/>
      <c r="BF15" s="852"/>
      <c r="BG15" s="852"/>
      <c r="BH15" s="852"/>
      <c r="BI15" s="852"/>
      <c r="BJ15" s="852"/>
      <c r="BK15" s="852"/>
      <c r="BL15" s="852"/>
      <c r="BM15" s="852"/>
      <c r="BN15" s="852"/>
      <c r="BO15" s="852"/>
      <c r="BP15" s="852"/>
      <c r="BQ15" s="852"/>
      <c r="BR15" s="852"/>
      <c r="BS15" s="852"/>
      <c r="BT15" s="852"/>
      <c r="BU15" s="852"/>
      <c r="BV15" s="852"/>
      <c r="BW15" s="852"/>
      <c r="BX15" s="852"/>
      <c r="BY15" s="852"/>
      <c r="BZ15" s="852"/>
      <c r="CA15" s="852"/>
      <c r="CB15" s="852"/>
      <c r="CC15" s="852"/>
      <c r="CD15" s="852"/>
    </row>
    <row r="16" spans="2:82" ht="15" hidden="1" customHeight="1" outlineLevel="1">
      <c r="B16" s="382" t="s">
        <v>285</v>
      </c>
      <c r="C16" s="1426">
        <v>15157.860000000002</v>
      </c>
      <c r="D16" s="1426">
        <v>13646.67</v>
      </c>
      <c r="E16" s="1426">
        <v>15419.870000000003</v>
      </c>
      <c r="F16" s="1426">
        <v>12204.140000000001</v>
      </c>
      <c r="G16" s="1426">
        <v>15471.029999999995</v>
      </c>
      <c r="H16" s="1426">
        <v>13711.680000000004</v>
      </c>
      <c r="I16" s="1426">
        <v>15400.580000000005</v>
      </c>
      <c r="J16" s="1426">
        <v>14468.009999999997</v>
      </c>
      <c r="K16" s="1426">
        <v>11305.780000000002</v>
      </c>
      <c r="L16" s="1426">
        <v>14251.339999999998</v>
      </c>
      <c r="M16" s="1426">
        <v>14587.720000000001</v>
      </c>
      <c r="N16" s="1426">
        <f>IF($E$5=N8,'Monthly Report '!$T$9,)</f>
        <v>12312.76</v>
      </c>
      <c r="O16" s="409">
        <f t="shared" si="1"/>
        <v>167937.44000000003</v>
      </c>
      <c r="P16" s="59"/>
      <c r="Q16" s="59"/>
      <c r="R16" s="59"/>
      <c r="S16" s="59"/>
      <c r="T16" s="59"/>
      <c r="U16" s="59"/>
      <c r="V16" s="59"/>
      <c r="W16" s="59"/>
      <c r="X16" s="322"/>
      <c r="Y16" s="293"/>
      <c r="AA16" s="852"/>
      <c r="AB16" s="852"/>
      <c r="AC16" s="852"/>
      <c r="AD16" s="852"/>
      <c r="AE16" s="852"/>
      <c r="AF16" s="852"/>
      <c r="AG16" s="852"/>
      <c r="AH16" s="852"/>
      <c r="AI16" s="852"/>
      <c r="AJ16" s="852"/>
      <c r="AK16" s="852"/>
      <c r="AL16" s="852"/>
      <c r="AM16" s="852"/>
      <c r="AN16" s="852"/>
      <c r="AO16" s="852"/>
      <c r="AP16" s="852"/>
      <c r="AQ16" s="852"/>
      <c r="AR16" s="852"/>
      <c r="AS16" s="852"/>
      <c r="AT16" s="852"/>
      <c r="AU16" s="852"/>
      <c r="AV16" s="852"/>
      <c r="AW16" s="852"/>
      <c r="AX16" s="852"/>
      <c r="AY16" s="852"/>
      <c r="AZ16" s="852"/>
      <c r="BA16" s="852"/>
      <c r="BB16" s="852"/>
      <c r="BC16" s="852"/>
      <c r="BD16" s="852"/>
      <c r="BE16" s="852"/>
      <c r="BF16" s="852"/>
      <c r="BG16" s="852"/>
      <c r="BH16" s="852"/>
      <c r="BI16" s="852"/>
      <c r="BJ16" s="852"/>
      <c r="BK16" s="852"/>
      <c r="BL16" s="852"/>
      <c r="BM16" s="852"/>
      <c r="BN16" s="852"/>
      <c r="BO16" s="852"/>
      <c r="BP16" s="852"/>
      <c r="BQ16" s="852"/>
      <c r="BR16" s="852"/>
      <c r="BS16" s="852"/>
      <c r="BT16" s="852"/>
      <c r="BU16" s="852"/>
      <c r="BV16" s="852"/>
      <c r="BW16" s="852"/>
      <c r="BX16" s="852"/>
      <c r="BY16" s="852"/>
      <c r="BZ16" s="852"/>
      <c r="CA16" s="852"/>
      <c r="CB16" s="852"/>
      <c r="CC16" s="852"/>
      <c r="CD16" s="852"/>
    </row>
    <row r="17" spans="1:86" ht="15" hidden="1" customHeight="1" outlineLevel="1">
      <c r="B17" s="710" t="s">
        <v>286</v>
      </c>
      <c r="C17" s="711">
        <v>0</v>
      </c>
      <c r="D17" s="711">
        <v>28.8</v>
      </c>
      <c r="E17" s="711">
        <v>0</v>
      </c>
      <c r="F17" s="711">
        <v>213.3</v>
      </c>
      <c r="G17" s="711">
        <v>0</v>
      </c>
      <c r="H17" s="711">
        <v>847.80000000000007</v>
      </c>
      <c r="I17" s="711">
        <v>0</v>
      </c>
      <c r="J17" s="711">
        <v>0</v>
      </c>
      <c r="K17" s="711">
        <v>0</v>
      </c>
      <c r="L17" s="711">
        <v>0</v>
      </c>
      <c r="M17" s="711">
        <v>0</v>
      </c>
      <c r="N17" s="711">
        <v>338.4</v>
      </c>
      <c r="O17" s="409">
        <f t="shared" si="1"/>
        <v>1428.3000000000002</v>
      </c>
      <c r="P17" s="59"/>
      <c r="Q17" s="59"/>
      <c r="R17" s="59"/>
      <c r="S17" s="59"/>
      <c r="T17" s="59"/>
      <c r="U17" s="59"/>
      <c r="V17" s="59"/>
      <c r="W17" s="59"/>
      <c r="X17" s="322"/>
      <c r="Y17" s="293"/>
      <c r="AA17" s="852"/>
      <c r="AB17" s="852"/>
      <c r="AC17" s="852"/>
      <c r="AD17" s="852"/>
      <c r="AE17" s="852"/>
      <c r="AF17" s="852"/>
      <c r="AG17" s="852"/>
      <c r="AH17" s="852"/>
      <c r="AI17" s="852"/>
      <c r="AJ17" s="852"/>
      <c r="AK17" s="852"/>
      <c r="AL17" s="852"/>
      <c r="AM17" s="852"/>
      <c r="AN17" s="852"/>
      <c r="AO17" s="852"/>
      <c r="AP17" s="852"/>
      <c r="AQ17" s="852"/>
      <c r="AR17" s="852"/>
      <c r="AS17" s="852"/>
      <c r="AT17" s="852"/>
      <c r="AU17" s="852"/>
      <c r="AV17" s="852"/>
      <c r="AW17" s="852"/>
      <c r="AX17" s="852"/>
      <c r="AY17" s="852"/>
      <c r="AZ17" s="852"/>
      <c r="BA17" s="852"/>
      <c r="BB17" s="852"/>
      <c r="BC17" s="852"/>
      <c r="BD17" s="852"/>
      <c r="BE17" s="852"/>
      <c r="BF17" s="852"/>
      <c r="BG17" s="852"/>
      <c r="BH17" s="852"/>
      <c r="BI17" s="852"/>
      <c r="BJ17" s="852"/>
      <c r="BK17" s="852"/>
      <c r="BL17" s="852"/>
      <c r="BM17" s="852"/>
      <c r="BN17" s="852"/>
      <c r="BO17" s="852"/>
      <c r="BP17" s="852"/>
      <c r="BQ17" s="852"/>
      <c r="BR17" s="852"/>
      <c r="BS17" s="852"/>
      <c r="BT17" s="852"/>
      <c r="BU17" s="852"/>
      <c r="BV17" s="852"/>
      <c r="BW17" s="852"/>
      <c r="BX17" s="852"/>
      <c r="BY17" s="852"/>
      <c r="BZ17" s="852"/>
      <c r="CA17" s="852"/>
      <c r="CB17" s="852"/>
      <c r="CC17" s="852"/>
      <c r="CD17" s="852"/>
    </row>
    <row r="18" spans="1:86" s="385" customFormat="1" ht="15" hidden="1" customHeight="1" outlineLevel="1">
      <c r="B18" s="386" t="s">
        <v>641</v>
      </c>
      <c r="C18" s="709">
        <v>0</v>
      </c>
      <c r="D18" s="709">
        <v>0</v>
      </c>
      <c r="E18" s="709">
        <v>0</v>
      </c>
      <c r="F18" s="709">
        <v>0</v>
      </c>
      <c r="G18" s="709">
        <v>0</v>
      </c>
      <c r="H18" s="709">
        <v>0</v>
      </c>
      <c r="I18" s="709">
        <v>0</v>
      </c>
      <c r="J18" s="709">
        <v>0</v>
      </c>
      <c r="K18" s="709">
        <v>0</v>
      </c>
      <c r="L18" s="709">
        <v>0</v>
      </c>
      <c r="M18" s="709">
        <v>0</v>
      </c>
      <c r="N18" s="709">
        <v>0</v>
      </c>
      <c r="O18" s="409">
        <f t="shared" si="1"/>
        <v>0</v>
      </c>
      <c r="P18" s="383"/>
      <c r="Q18" s="383"/>
      <c r="R18" s="383"/>
      <c r="S18" s="383"/>
      <c r="T18" s="383"/>
      <c r="U18" s="383"/>
      <c r="V18" s="383"/>
      <c r="W18" s="383"/>
      <c r="X18" s="384"/>
      <c r="AA18" s="852"/>
      <c r="AB18" s="852"/>
      <c r="AC18" s="852"/>
      <c r="AD18" s="852"/>
      <c r="AE18" s="852"/>
      <c r="AF18" s="852"/>
      <c r="AG18" s="852"/>
      <c r="AH18" s="852"/>
      <c r="AI18" s="852"/>
      <c r="AJ18" s="852"/>
      <c r="AK18" s="852"/>
      <c r="AL18" s="852"/>
      <c r="AM18" s="852"/>
      <c r="AN18" s="852"/>
      <c r="AO18" s="852"/>
      <c r="AP18" s="852"/>
      <c r="AQ18" s="852"/>
      <c r="AR18" s="852"/>
      <c r="AS18" s="852"/>
      <c r="AT18" s="852"/>
      <c r="AU18" s="852"/>
      <c r="AV18" s="852"/>
      <c r="AW18" s="852"/>
      <c r="AX18" s="852"/>
      <c r="AY18" s="852"/>
      <c r="AZ18" s="852"/>
      <c r="BA18" s="852"/>
      <c r="BB18" s="852"/>
      <c r="BC18" s="852"/>
      <c r="BD18" s="852"/>
      <c r="BE18" s="852"/>
      <c r="BF18" s="852"/>
      <c r="BG18" s="852"/>
      <c r="BH18" s="852"/>
      <c r="BI18" s="852"/>
      <c r="BJ18" s="852"/>
      <c r="BK18" s="852"/>
      <c r="BL18" s="852"/>
      <c r="BM18" s="852"/>
      <c r="BN18" s="852"/>
      <c r="BO18" s="852"/>
      <c r="BP18" s="852"/>
      <c r="BQ18" s="852"/>
      <c r="BR18" s="852"/>
      <c r="BS18" s="852"/>
      <c r="BT18" s="852"/>
      <c r="BU18" s="852"/>
      <c r="BV18" s="852"/>
      <c r="BW18" s="852"/>
      <c r="BX18" s="852"/>
      <c r="BY18" s="852"/>
      <c r="BZ18" s="852"/>
      <c r="CA18" s="852"/>
      <c r="CB18" s="852"/>
      <c r="CC18" s="852"/>
      <c r="CD18" s="852"/>
    </row>
    <row r="19" spans="1:86" s="385" customFormat="1" ht="15" hidden="1" customHeight="1" outlineLevel="1">
      <c r="B19" s="1361" t="s">
        <v>195</v>
      </c>
      <c r="C19" s="1427">
        <v>599.40000000000009</v>
      </c>
      <c r="D19" s="1427">
        <v>567</v>
      </c>
      <c r="E19" s="1427">
        <v>524.70000000000005</v>
      </c>
      <c r="F19" s="1427">
        <v>347.4</v>
      </c>
      <c r="G19" s="1427">
        <v>517.50000000000011</v>
      </c>
      <c r="H19" s="1427">
        <v>60.3</v>
      </c>
      <c r="I19" s="1427">
        <v>0</v>
      </c>
      <c r="J19" s="1427">
        <v>461.70000000000005</v>
      </c>
      <c r="K19" s="1427">
        <v>179</v>
      </c>
      <c r="L19" s="1427">
        <v>378.9</v>
      </c>
      <c r="M19" s="1427">
        <v>9</v>
      </c>
      <c r="N19" s="1427">
        <v>0</v>
      </c>
      <c r="O19" s="409">
        <f t="shared" si="1"/>
        <v>3644.9</v>
      </c>
      <c r="P19" s="383"/>
      <c r="Q19" s="383"/>
      <c r="R19" s="383"/>
      <c r="S19" s="383"/>
      <c r="T19" s="383"/>
      <c r="U19" s="383"/>
      <c r="V19" s="383"/>
      <c r="W19" s="383"/>
      <c r="X19" s="384"/>
      <c r="AA19" s="852"/>
      <c r="AB19" s="852"/>
      <c r="AC19" s="852"/>
      <c r="AD19" s="852"/>
      <c r="AE19" s="852"/>
      <c r="AF19" s="852"/>
      <c r="AG19" s="852"/>
      <c r="AH19" s="852"/>
      <c r="AI19" s="852"/>
      <c r="AJ19" s="852"/>
      <c r="AK19" s="852"/>
      <c r="AL19" s="852"/>
      <c r="AM19" s="852"/>
      <c r="AN19" s="852"/>
      <c r="AO19" s="852"/>
      <c r="AP19" s="852"/>
      <c r="AQ19" s="852"/>
      <c r="AR19" s="852"/>
      <c r="AS19" s="852"/>
      <c r="AT19" s="852"/>
      <c r="AU19" s="852"/>
      <c r="AV19" s="852"/>
      <c r="AW19" s="852"/>
      <c r="AX19" s="852"/>
      <c r="AY19" s="852"/>
      <c r="AZ19" s="852"/>
      <c r="BA19" s="852"/>
      <c r="BB19" s="852"/>
      <c r="BC19" s="852"/>
      <c r="BD19" s="852"/>
      <c r="BE19" s="852"/>
      <c r="BF19" s="852"/>
      <c r="BG19" s="852"/>
      <c r="BH19" s="852"/>
      <c r="BI19" s="852"/>
      <c r="BJ19" s="852"/>
      <c r="BK19" s="852"/>
      <c r="BL19" s="852"/>
      <c r="BM19" s="852"/>
      <c r="BN19" s="852"/>
      <c r="BO19" s="852"/>
      <c r="BP19" s="852"/>
      <c r="BQ19" s="852"/>
      <c r="BR19" s="852"/>
      <c r="BS19" s="852"/>
      <c r="BT19" s="852"/>
      <c r="BU19" s="852"/>
      <c r="BV19" s="852"/>
      <c r="BW19" s="852"/>
      <c r="BX19" s="852"/>
      <c r="BY19" s="852"/>
      <c r="BZ19" s="852"/>
      <c r="CA19" s="852"/>
      <c r="CB19" s="852"/>
      <c r="CC19" s="852"/>
      <c r="CD19" s="852"/>
    </row>
    <row r="20" spans="1:86" collapsed="1">
      <c r="B20" s="60" t="s">
        <v>10</v>
      </c>
      <c r="C20" s="1428">
        <v>498.46400000000011</v>
      </c>
      <c r="D20" s="1428">
        <v>462.63699999999994</v>
      </c>
      <c r="E20" s="1428">
        <v>578.62100000000021</v>
      </c>
      <c r="F20" s="1428">
        <v>372.87899999999996</v>
      </c>
      <c r="G20" s="1428">
        <v>497.64</v>
      </c>
      <c r="H20" s="1428">
        <v>548.24399999999991</v>
      </c>
      <c r="I20" s="1428">
        <v>559.8420000000001</v>
      </c>
      <c r="J20" s="1428">
        <v>512.66099999999994</v>
      </c>
      <c r="K20" s="1428">
        <v>392.66199999999992</v>
      </c>
      <c r="L20" s="1428">
        <v>548.91200000000003</v>
      </c>
      <c r="M20" s="1428">
        <v>525.68200000000002</v>
      </c>
      <c r="N20" s="1428">
        <f>IF($E$5=N8,'Monthly Report '!$T$32, )</f>
        <v>646.83400000000006</v>
      </c>
      <c r="O20" s="409">
        <f>SUM(C20:N20)</f>
        <v>6145.0779999999995</v>
      </c>
      <c r="P20" s="61"/>
      <c r="Q20" s="61"/>
      <c r="R20" s="61"/>
      <c r="S20" s="61"/>
      <c r="T20" s="61"/>
      <c r="U20" s="61"/>
      <c r="V20" s="61"/>
      <c r="W20" s="61"/>
      <c r="X20" s="90"/>
      <c r="Y20" s="293"/>
      <c r="AA20" s="852"/>
      <c r="AB20" s="852"/>
      <c r="AC20" s="852"/>
      <c r="AD20" s="852"/>
      <c r="AE20" s="852"/>
      <c r="AF20" s="852"/>
      <c r="AG20" s="852"/>
      <c r="AH20" s="852"/>
      <c r="AI20" s="852"/>
      <c r="AJ20" s="852"/>
      <c r="AK20" s="852">
        <f>LOOKUP(E5,YearUpdate,Accru_Day)</f>
        <v>365</v>
      </c>
      <c r="AL20" s="852"/>
      <c r="AM20" s="852"/>
      <c r="AN20" s="852"/>
      <c r="AO20" s="852"/>
      <c r="AP20" s="852"/>
      <c r="AQ20" s="852"/>
      <c r="AR20" s="852"/>
      <c r="AS20" s="852"/>
      <c r="AT20" s="852"/>
      <c r="AU20" s="852"/>
      <c r="AV20" s="852"/>
      <c r="AW20" s="852"/>
      <c r="AX20" s="852"/>
      <c r="AY20" s="852"/>
      <c r="AZ20" s="852"/>
      <c r="BA20" s="852"/>
      <c r="BB20" s="852"/>
      <c r="BC20" s="852"/>
      <c r="BD20" s="852"/>
      <c r="BE20" s="852"/>
      <c r="BF20" s="852"/>
      <c r="BG20" s="852"/>
      <c r="BH20" s="852"/>
      <c r="BI20" s="852"/>
      <c r="BJ20" s="852"/>
      <c r="BK20" s="852"/>
      <c r="BL20" s="852"/>
      <c r="BM20" s="852"/>
      <c r="BN20" s="852"/>
      <c r="BO20" s="852"/>
      <c r="BP20" s="852"/>
      <c r="BQ20" s="852"/>
      <c r="BR20" s="852"/>
      <c r="BS20" s="852"/>
      <c r="BT20" s="852"/>
      <c r="BU20" s="852"/>
      <c r="BV20" s="852"/>
      <c r="BW20" s="852"/>
      <c r="BX20" s="852"/>
      <c r="BY20" s="852"/>
      <c r="BZ20" s="852"/>
      <c r="CA20" s="852"/>
      <c r="CB20" s="852"/>
      <c r="CC20" s="852"/>
      <c r="CD20" s="852"/>
    </row>
    <row r="21" spans="1:86">
      <c r="B21" s="60" t="s">
        <v>11</v>
      </c>
      <c r="C21" s="1428">
        <v>21.764000000000003</v>
      </c>
      <c r="D21" s="1428">
        <v>21.541000000000004</v>
      </c>
      <c r="E21" s="1428">
        <v>25.704000000000001</v>
      </c>
      <c r="F21" s="1428">
        <v>21.085000000000001</v>
      </c>
      <c r="G21" s="1428">
        <v>15.020000000000003</v>
      </c>
      <c r="H21" s="1428">
        <v>32.924999999999983</v>
      </c>
      <c r="I21" s="1428">
        <v>34.877000000000002</v>
      </c>
      <c r="J21" s="1428">
        <v>36.660999999999987</v>
      </c>
      <c r="K21" s="1428">
        <v>27.684000000000008</v>
      </c>
      <c r="L21" s="1428">
        <v>33.652000000000001</v>
      </c>
      <c r="M21" s="1428">
        <v>44.335000000000001</v>
      </c>
      <c r="N21" s="1428">
        <f>IF($E$5=N8,'Monthly Report '!$T$33, )</f>
        <v>17.866</v>
      </c>
      <c r="O21" s="409">
        <f t="shared" si="1"/>
        <v>333.11399999999998</v>
      </c>
      <c r="P21" s="61"/>
      <c r="Q21" s="61"/>
      <c r="R21" s="61"/>
      <c r="S21" s="61"/>
      <c r="T21" s="61"/>
      <c r="U21" s="61"/>
      <c r="V21" s="61"/>
      <c r="W21" s="61"/>
      <c r="X21" s="90"/>
      <c r="Y21" s="208"/>
      <c r="AA21" s="852"/>
      <c r="AB21" s="852"/>
      <c r="AC21" s="852"/>
      <c r="AD21" s="852"/>
      <c r="AE21" s="852"/>
      <c r="AF21" s="852"/>
      <c r="AG21" s="852"/>
      <c r="AH21" s="852"/>
      <c r="AI21" s="852"/>
      <c r="AJ21" s="852"/>
      <c r="AK21" s="852"/>
      <c r="AL21" s="852"/>
      <c r="AM21" s="852"/>
      <c r="AN21" s="852"/>
      <c r="AO21" s="852"/>
      <c r="AP21" s="852"/>
      <c r="AQ21" s="852"/>
      <c r="AR21" s="852"/>
      <c r="AS21" s="852"/>
      <c r="AT21" s="852"/>
      <c r="AU21" s="852"/>
      <c r="AV21" s="852"/>
      <c r="AW21" s="852"/>
      <c r="AX21" s="852"/>
      <c r="AY21" s="852"/>
      <c r="AZ21" s="852"/>
      <c r="BA21" s="852"/>
      <c r="BB21" s="852"/>
      <c r="BC21" s="852"/>
      <c r="BD21" s="852"/>
      <c r="BE21" s="852"/>
      <c r="BF21" s="852"/>
      <c r="BG21" s="852"/>
      <c r="BH21" s="852"/>
      <c r="BI21" s="852"/>
      <c r="BJ21" s="852"/>
      <c r="BK21" s="852"/>
      <c r="BL21" s="852"/>
      <c r="BM21" s="852"/>
      <c r="BN21" s="852"/>
      <c r="BO21" s="852"/>
      <c r="BP21" s="852"/>
      <c r="BQ21" s="852"/>
      <c r="BR21" s="852"/>
      <c r="BS21" s="852"/>
      <c r="BT21" s="852"/>
      <c r="BU21" s="852"/>
      <c r="BV21" s="852"/>
      <c r="BW21" s="852"/>
      <c r="BX21" s="852"/>
      <c r="BY21" s="852"/>
      <c r="BZ21" s="852"/>
      <c r="CA21" s="852"/>
      <c r="CB21" s="852"/>
      <c r="CC21" s="852"/>
      <c r="CD21" s="852"/>
    </row>
    <row r="22" spans="1:86">
      <c r="B22" s="60" t="s">
        <v>56</v>
      </c>
      <c r="C22" s="1428">
        <v>0</v>
      </c>
      <c r="D22" s="1428">
        <v>0</v>
      </c>
      <c r="E22" s="1428">
        <v>0</v>
      </c>
      <c r="F22" s="1428">
        <v>0</v>
      </c>
      <c r="G22" s="1428">
        <v>0</v>
      </c>
      <c r="H22" s="1428">
        <v>0</v>
      </c>
      <c r="I22" s="1428">
        <v>0</v>
      </c>
      <c r="J22" s="1428">
        <v>0</v>
      </c>
      <c r="K22" s="1428">
        <v>0</v>
      </c>
      <c r="L22" s="1428">
        <v>0</v>
      </c>
      <c r="M22" s="1428">
        <v>0</v>
      </c>
      <c r="N22" s="1428">
        <v>0</v>
      </c>
      <c r="O22" s="409">
        <f t="shared" si="1"/>
        <v>0</v>
      </c>
      <c r="P22" s="61"/>
      <c r="Q22" s="61"/>
      <c r="R22" s="61"/>
      <c r="S22" s="61"/>
      <c r="T22" s="61"/>
      <c r="U22" s="61"/>
      <c r="V22" s="61"/>
      <c r="W22" s="61"/>
      <c r="X22" s="50"/>
      <c r="Y22" s="168"/>
      <c r="Z22" s="168"/>
      <c r="AA22" s="1369"/>
      <c r="AB22" s="1369"/>
      <c r="AC22" s="1369"/>
      <c r="AD22" s="1369"/>
      <c r="AE22" s="1369"/>
      <c r="AF22" s="1369"/>
      <c r="AG22" s="1369"/>
      <c r="AH22" s="1369"/>
      <c r="AI22" s="1369"/>
      <c r="AJ22" s="1369"/>
      <c r="AK22" s="852"/>
      <c r="AL22" s="852"/>
      <c r="AM22" s="852"/>
      <c r="AN22" s="852"/>
      <c r="AO22" s="852"/>
      <c r="AP22" s="852"/>
      <c r="AQ22" s="852"/>
      <c r="AR22" s="852"/>
      <c r="AS22" s="852"/>
      <c r="AT22" s="852"/>
      <c r="AU22" s="852"/>
      <c r="AV22" s="852"/>
      <c r="AW22" s="852"/>
      <c r="AX22" s="852"/>
      <c r="AY22" s="852"/>
      <c r="AZ22" s="852"/>
      <c r="BA22" s="852"/>
      <c r="BB22" s="852"/>
      <c r="BC22" s="852"/>
      <c r="BD22" s="852"/>
      <c r="BE22" s="852"/>
      <c r="BF22" s="852"/>
      <c r="BG22" s="852"/>
      <c r="BH22" s="852"/>
      <c r="BI22" s="852"/>
      <c r="BJ22" s="852"/>
      <c r="BK22" s="852"/>
      <c r="BL22" s="852"/>
      <c r="BM22" s="852"/>
      <c r="BN22" s="852"/>
      <c r="BO22" s="852"/>
      <c r="BP22" s="852"/>
      <c r="BQ22" s="852"/>
      <c r="BR22" s="852"/>
      <c r="BS22" s="852"/>
      <c r="BT22" s="852"/>
      <c r="BU22" s="852"/>
      <c r="BV22" s="852"/>
      <c r="BW22" s="852"/>
      <c r="BX22" s="852"/>
      <c r="BY22" s="852"/>
      <c r="BZ22" s="852"/>
      <c r="CA22" s="852"/>
      <c r="CB22" s="852"/>
      <c r="CC22" s="852"/>
      <c r="CD22" s="852"/>
    </row>
    <row r="23" spans="1:86" hidden="1">
      <c r="B23" s="1351" t="s">
        <v>620</v>
      </c>
      <c r="C23" s="168">
        <v>31</v>
      </c>
      <c r="D23" s="168">
        <f>C23+D24</f>
        <v>59</v>
      </c>
      <c r="E23" s="168">
        <f t="shared" ref="E23:N23" si="2">D23+E24</f>
        <v>90</v>
      </c>
      <c r="F23" s="168">
        <f t="shared" si="2"/>
        <v>120</v>
      </c>
      <c r="G23" s="168">
        <v>151</v>
      </c>
      <c r="H23" s="168">
        <f t="shared" si="2"/>
        <v>181</v>
      </c>
      <c r="I23" s="168">
        <v>212</v>
      </c>
      <c r="J23" s="168">
        <v>243</v>
      </c>
      <c r="K23" s="168">
        <v>273</v>
      </c>
      <c r="L23" s="168">
        <v>304</v>
      </c>
      <c r="M23" s="168">
        <v>334</v>
      </c>
      <c r="N23" s="168">
        <f t="shared" si="2"/>
        <v>365</v>
      </c>
      <c r="O23" s="1345"/>
      <c r="P23" s="1346"/>
      <c r="Q23" s="1346"/>
      <c r="R23" s="1346"/>
      <c r="S23" s="1346"/>
      <c r="T23" s="1346"/>
      <c r="U23" s="1346"/>
      <c r="V23" s="1346"/>
      <c r="W23" s="1346"/>
      <c r="X23" s="50"/>
      <c r="Y23" s="168"/>
      <c r="Z23" s="168"/>
      <c r="AA23" s="1369"/>
      <c r="AB23" s="1369"/>
      <c r="AC23" s="1369"/>
      <c r="AD23" s="1369"/>
      <c r="AE23" s="1369"/>
      <c r="AF23" s="1369"/>
      <c r="AG23" s="1369"/>
      <c r="AH23" s="1369"/>
      <c r="AI23" s="1369"/>
      <c r="AJ23" s="1369"/>
      <c r="AK23" s="852"/>
      <c r="AL23" s="852"/>
      <c r="AM23" s="852"/>
      <c r="AN23" s="852"/>
      <c r="AO23" s="852"/>
      <c r="AP23" s="852"/>
      <c r="AQ23" s="852"/>
      <c r="AR23" s="852"/>
      <c r="AS23" s="852"/>
      <c r="AT23" s="852"/>
      <c r="AU23" s="852"/>
      <c r="AV23" s="852"/>
      <c r="AW23" s="852"/>
      <c r="AX23" s="852"/>
      <c r="AY23" s="852"/>
      <c r="AZ23" s="852"/>
      <c r="BA23" s="852"/>
      <c r="BB23" s="852"/>
      <c r="BC23" s="852"/>
      <c r="BD23" s="852"/>
      <c r="BE23" s="852"/>
      <c r="BF23" s="852"/>
      <c r="BG23" s="852"/>
      <c r="BH23" s="852"/>
      <c r="BI23" s="852"/>
      <c r="BJ23" s="852"/>
      <c r="BK23" s="852"/>
      <c r="BL23" s="852"/>
      <c r="BM23" s="852"/>
      <c r="BN23" s="852"/>
      <c r="BO23" s="852"/>
      <c r="BP23" s="852"/>
      <c r="BQ23" s="852"/>
      <c r="BR23" s="852"/>
      <c r="BS23" s="852"/>
      <c r="BT23" s="852"/>
      <c r="BU23" s="852"/>
      <c r="BV23" s="852"/>
      <c r="BW23" s="852"/>
      <c r="BX23" s="852"/>
      <c r="BY23" s="852"/>
      <c r="BZ23" s="852"/>
      <c r="CA23" s="852"/>
      <c r="CB23" s="852"/>
      <c r="CC23" s="852"/>
      <c r="CD23" s="852"/>
    </row>
    <row r="24" spans="1:86" ht="13.7" hidden="1" customHeight="1">
      <c r="B24" s="1173" t="s">
        <v>569</v>
      </c>
      <c r="C24" s="50">
        <v>31</v>
      </c>
      <c r="D24" s="70">
        <v>28</v>
      </c>
      <c r="E24" s="70">
        <v>31</v>
      </c>
      <c r="F24" s="70">
        <v>30</v>
      </c>
      <c r="G24" s="70">
        <v>31</v>
      </c>
      <c r="H24" s="70">
        <v>30</v>
      </c>
      <c r="I24" s="70">
        <v>31</v>
      </c>
      <c r="J24" s="70">
        <v>31</v>
      </c>
      <c r="K24" s="70">
        <v>30</v>
      </c>
      <c r="L24" s="70">
        <v>31</v>
      </c>
      <c r="M24" s="70">
        <v>30</v>
      </c>
      <c r="N24" s="70">
        <v>31</v>
      </c>
      <c r="O24" s="70">
        <f ca="1">SUM(C24:OFFSET(C24,0,COUNT($C$15:$N$15)-1))</f>
        <v>365</v>
      </c>
      <c r="P24" s="945"/>
      <c r="Q24" s="945"/>
      <c r="R24" s="945"/>
      <c r="S24" s="728"/>
      <c r="T24" s="70"/>
      <c r="U24" s="70"/>
      <c r="V24" s="50"/>
      <c r="W24" s="50"/>
      <c r="AA24" s="852"/>
      <c r="AB24" s="852"/>
      <c r="AC24" s="852"/>
      <c r="AD24" s="852"/>
      <c r="AE24" s="852"/>
      <c r="AF24" s="852"/>
      <c r="AG24" s="852"/>
      <c r="AH24" s="852"/>
      <c r="AI24" s="852"/>
      <c r="AJ24" s="852"/>
      <c r="AK24" s="852"/>
      <c r="AL24" s="852"/>
      <c r="AM24" s="852"/>
      <c r="AN24" s="852"/>
      <c r="AO24" s="852"/>
      <c r="AP24" s="852"/>
      <c r="AQ24" s="852"/>
      <c r="AR24" s="852"/>
      <c r="AS24" s="852"/>
      <c r="AT24" s="852"/>
      <c r="AU24" s="852"/>
      <c r="AV24" s="852"/>
      <c r="AW24" s="852"/>
      <c r="AX24" s="852"/>
      <c r="AY24" s="852"/>
      <c r="AZ24" s="852"/>
      <c r="BA24" s="852"/>
      <c r="BB24" s="852"/>
      <c r="BC24" s="852"/>
      <c r="BD24" s="852"/>
      <c r="BE24" s="852"/>
      <c r="BF24" s="852"/>
      <c r="BG24" s="852"/>
      <c r="BH24" s="852"/>
      <c r="BI24" s="852"/>
      <c r="BJ24" s="852"/>
      <c r="BK24" s="852"/>
      <c r="BL24" s="852"/>
      <c r="BM24" s="852"/>
      <c r="BN24" s="852"/>
      <c r="BO24" s="852"/>
      <c r="BP24" s="852"/>
      <c r="BQ24" s="852"/>
      <c r="BR24" s="852"/>
      <c r="BS24" s="852"/>
      <c r="BT24" s="852"/>
      <c r="BU24" s="852"/>
      <c r="BV24" s="852"/>
      <c r="BW24" s="852"/>
      <c r="BX24" s="852"/>
      <c r="BY24" s="852"/>
      <c r="BZ24" s="852"/>
      <c r="CA24" s="852"/>
      <c r="CB24" s="852"/>
      <c r="CC24" s="852"/>
      <c r="CD24" s="852"/>
    </row>
    <row r="25" spans="1:86" hidden="1">
      <c r="B25" s="1174" t="s">
        <v>570</v>
      </c>
      <c r="C25" s="1476">
        <f>C24-C28-C27</f>
        <v>31</v>
      </c>
      <c r="D25" s="1476">
        <f t="shared" ref="D25:N25" si="3">D24-D28-D27</f>
        <v>28</v>
      </c>
      <c r="E25" s="1476">
        <f t="shared" si="3"/>
        <v>31</v>
      </c>
      <c r="F25" s="1476">
        <f t="shared" si="3"/>
        <v>24.35</v>
      </c>
      <c r="G25" s="1476">
        <f t="shared" si="3"/>
        <v>31</v>
      </c>
      <c r="H25" s="1476">
        <f t="shared" si="3"/>
        <v>30</v>
      </c>
      <c r="I25" s="1476">
        <f t="shared" si="3"/>
        <v>31</v>
      </c>
      <c r="J25" s="1476">
        <f t="shared" si="3"/>
        <v>31</v>
      </c>
      <c r="K25" s="1476">
        <f t="shared" si="3"/>
        <v>27</v>
      </c>
      <c r="L25" s="1476">
        <v>30.149305555554747</v>
      </c>
      <c r="M25" s="1476">
        <v>30</v>
      </c>
      <c r="N25" s="1476">
        <f t="shared" si="3"/>
        <v>27.666666666666668</v>
      </c>
      <c r="O25" s="1663">
        <f ca="1">SUM(C25:OFFSET(C25,0,COUNT($C$15:$N$15)-1))</f>
        <v>352.16597222222146</v>
      </c>
      <c r="P25" s="945"/>
      <c r="Q25" s="945"/>
      <c r="R25" s="562"/>
      <c r="S25" s="562"/>
      <c r="T25" s="729"/>
      <c r="U25" s="62"/>
      <c r="V25" s="50"/>
      <c r="W25" s="50"/>
      <c r="Y25" s="562"/>
      <c r="Z25" s="562"/>
      <c r="AA25" s="1370"/>
      <c r="AB25" s="1370"/>
      <c r="AC25" s="1370"/>
      <c r="AD25" s="1370"/>
      <c r="AE25" s="1370"/>
      <c r="AF25" s="1371"/>
      <c r="AG25" s="1370"/>
      <c r="AH25" s="1370"/>
      <c r="AI25" s="1370"/>
      <c r="AJ25" s="1370"/>
      <c r="AK25" s="1369"/>
      <c r="AL25" s="852"/>
      <c r="AM25" s="852"/>
      <c r="AN25" s="852"/>
      <c r="AO25" s="852"/>
      <c r="AP25" s="852"/>
      <c r="AQ25" s="852"/>
      <c r="AR25" s="852"/>
      <c r="AS25" s="852"/>
      <c r="AT25" s="852"/>
      <c r="AU25" s="852"/>
      <c r="AV25" s="852"/>
      <c r="AW25" s="852"/>
      <c r="AX25" s="852"/>
      <c r="AY25" s="852"/>
      <c r="AZ25" s="852"/>
      <c r="BA25" s="852"/>
      <c r="BB25" s="852"/>
      <c r="BC25" s="852"/>
      <c r="BD25" s="852"/>
      <c r="BE25" s="852"/>
      <c r="BF25" s="852"/>
      <c r="BG25" s="852"/>
      <c r="BH25" s="852"/>
      <c r="BI25" s="852"/>
      <c r="BJ25" s="852"/>
      <c r="BK25" s="852"/>
      <c r="BL25" s="852"/>
      <c r="BM25" s="852"/>
      <c r="BN25" s="852"/>
      <c r="BO25" s="852"/>
      <c r="BP25" s="852"/>
      <c r="BQ25" s="852"/>
      <c r="BR25" s="852"/>
      <c r="BS25" s="852"/>
      <c r="BT25" s="852"/>
      <c r="BU25" s="852"/>
      <c r="BV25" s="852"/>
      <c r="BW25" s="852"/>
      <c r="BX25" s="852"/>
      <c r="BY25" s="852"/>
      <c r="BZ25" s="852"/>
      <c r="CA25" s="852"/>
      <c r="CB25" s="852"/>
      <c r="CC25" s="852"/>
      <c r="CD25" s="852"/>
    </row>
    <row r="26" spans="1:86" hidden="1">
      <c r="B26" s="1351" t="s">
        <v>621</v>
      </c>
      <c r="C26" s="1476">
        <v>31</v>
      </c>
      <c r="D26" s="1476">
        <f>C26+D25</f>
        <v>59</v>
      </c>
      <c r="E26" s="1476">
        <f t="shared" ref="E26:N26" si="4">D26+E25</f>
        <v>90</v>
      </c>
      <c r="F26" s="1476">
        <f t="shared" si="4"/>
        <v>114.35</v>
      </c>
      <c r="G26" s="1476">
        <v>145.35</v>
      </c>
      <c r="H26" s="1476">
        <f t="shared" si="4"/>
        <v>175.35</v>
      </c>
      <c r="I26" s="1476">
        <v>206.35</v>
      </c>
      <c r="J26" s="1476">
        <v>237.35</v>
      </c>
      <c r="K26" s="1476">
        <v>264.35000000000002</v>
      </c>
      <c r="L26" s="1476">
        <v>294.49930555555477</v>
      </c>
      <c r="M26" s="1476">
        <v>324.49930555555477</v>
      </c>
      <c r="N26" s="1476">
        <f t="shared" si="4"/>
        <v>352.16597222222146</v>
      </c>
      <c r="O26" s="1477"/>
      <c r="P26" s="945"/>
      <c r="Q26" s="945"/>
      <c r="R26" s="562"/>
      <c r="S26" s="562"/>
      <c r="T26" s="729"/>
      <c r="U26" s="62"/>
      <c r="V26" s="50"/>
      <c r="W26" s="50"/>
      <c r="Y26" s="562"/>
      <c r="Z26" s="562"/>
      <c r="AA26" s="1370"/>
      <c r="AB26" s="1370"/>
      <c r="AC26" s="1370"/>
      <c r="AD26" s="1370"/>
      <c r="AE26" s="1370"/>
      <c r="AF26" s="1371"/>
      <c r="AG26" s="1370"/>
      <c r="AH26" s="1370"/>
      <c r="AI26" s="1370"/>
      <c r="AJ26" s="1370"/>
      <c r="AK26" s="1369"/>
      <c r="AL26" s="852"/>
      <c r="AM26" s="852"/>
      <c r="AN26" s="852"/>
      <c r="AO26" s="852"/>
      <c r="AP26" s="852"/>
      <c r="AQ26" s="852"/>
      <c r="AR26" s="852"/>
      <c r="AS26" s="852"/>
      <c r="AT26" s="852"/>
      <c r="AU26" s="852"/>
      <c r="AV26" s="852"/>
      <c r="AW26" s="852"/>
      <c r="AX26" s="852"/>
      <c r="AY26" s="852"/>
      <c r="AZ26" s="852"/>
      <c r="BA26" s="852"/>
      <c r="BB26" s="852"/>
      <c r="BC26" s="852"/>
      <c r="BD26" s="852"/>
      <c r="BE26" s="852"/>
      <c r="BF26" s="852"/>
      <c r="BG26" s="852"/>
      <c r="BH26" s="852"/>
      <c r="BI26" s="852"/>
      <c r="BJ26" s="852"/>
      <c r="BK26" s="852"/>
      <c r="BL26" s="852"/>
      <c r="BM26" s="852"/>
      <c r="BN26" s="852"/>
      <c r="BO26" s="852"/>
      <c r="BP26" s="852"/>
      <c r="BQ26" s="852"/>
      <c r="BR26" s="852"/>
      <c r="BS26" s="852"/>
      <c r="BT26" s="852"/>
      <c r="BU26" s="852"/>
      <c r="BV26" s="852"/>
      <c r="BW26" s="852"/>
      <c r="BX26" s="852"/>
      <c r="BY26" s="852"/>
      <c r="BZ26" s="852"/>
      <c r="CA26" s="852"/>
      <c r="CB26" s="852"/>
      <c r="CC26" s="852"/>
      <c r="CD26" s="852"/>
    </row>
    <row r="27" spans="1:86">
      <c r="B27" s="1546" t="s">
        <v>677</v>
      </c>
      <c r="C27" s="1476"/>
      <c r="D27" s="1476"/>
      <c r="E27" s="1476"/>
      <c r="F27" s="1183">
        <v>5.65</v>
      </c>
      <c r="G27" s="1476"/>
      <c r="H27" s="1476"/>
      <c r="I27" s="1476"/>
      <c r="J27" s="1476"/>
      <c r="K27" s="1476"/>
      <c r="L27" s="1547">
        <v>0.85069444444525288</v>
      </c>
      <c r="M27" s="1476"/>
      <c r="N27" s="1547">
        <f>(38.5+41.5)/24</f>
        <v>3.3333333333333335</v>
      </c>
      <c r="O27" s="1554">
        <f>SUM(C27:N27)</f>
        <v>9.8340277777785872</v>
      </c>
      <c r="P27" s="945"/>
      <c r="Q27" s="945"/>
      <c r="R27" s="562"/>
      <c r="S27" s="562"/>
      <c r="T27" s="729"/>
      <c r="U27" s="62"/>
      <c r="V27" s="50"/>
      <c r="W27" s="50"/>
      <c r="Y27" s="562"/>
      <c r="Z27" s="562"/>
      <c r="AA27" s="1370"/>
      <c r="AB27" s="1370"/>
      <c r="AC27" s="1370"/>
      <c r="AD27" s="1370"/>
      <c r="AE27" s="1370"/>
      <c r="AF27" s="1371"/>
      <c r="AG27" s="1370"/>
      <c r="AH27" s="1370"/>
      <c r="AI27" s="1370"/>
      <c r="AJ27" s="1370"/>
      <c r="AK27" s="1369"/>
      <c r="AL27" s="852"/>
      <c r="AM27" s="852"/>
      <c r="AN27" s="852"/>
      <c r="AO27" s="852"/>
      <c r="AP27" s="852"/>
      <c r="AQ27" s="852"/>
      <c r="AR27" s="852"/>
      <c r="AS27" s="852"/>
      <c r="AT27" s="852"/>
      <c r="AU27" s="852"/>
      <c r="AV27" s="852"/>
      <c r="AW27" s="852"/>
      <c r="AX27" s="852"/>
      <c r="AY27" s="852"/>
      <c r="AZ27" s="852"/>
      <c r="BA27" s="852"/>
      <c r="BB27" s="852"/>
      <c r="BC27" s="852"/>
      <c r="BD27" s="852"/>
      <c r="BE27" s="852"/>
      <c r="BF27" s="852"/>
      <c r="BG27" s="852"/>
      <c r="BH27" s="852"/>
      <c r="BI27" s="852"/>
      <c r="BJ27" s="852"/>
      <c r="BK27" s="852"/>
      <c r="BL27" s="852"/>
      <c r="BM27" s="852"/>
      <c r="BN27" s="852"/>
      <c r="BO27" s="852"/>
      <c r="BP27" s="852"/>
      <c r="BQ27" s="852"/>
      <c r="BR27" s="852"/>
      <c r="BS27" s="852"/>
      <c r="BT27" s="852"/>
      <c r="BU27" s="852"/>
      <c r="BV27" s="852"/>
      <c r="BW27" s="852"/>
      <c r="BX27" s="852"/>
      <c r="BY27" s="852"/>
      <c r="BZ27" s="852"/>
      <c r="CA27" s="852"/>
      <c r="CB27" s="852"/>
      <c r="CC27" s="852"/>
      <c r="CD27" s="852"/>
    </row>
    <row r="28" spans="1:86">
      <c r="B28" s="1273" t="s">
        <v>676</v>
      </c>
      <c r="C28" s="1478"/>
      <c r="D28" s="1479"/>
      <c r="E28" s="1478"/>
      <c r="F28" s="1183"/>
      <c r="G28" s="1478"/>
      <c r="I28" s="1480"/>
      <c r="J28" s="658"/>
      <c r="K28" s="1528">
        <v>3</v>
      </c>
      <c r="L28" s="1479"/>
      <c r="M28" s="1479"/>
      <c r="N28" s="1662"/>
      <c r="O28" s="1554">
        <f>SUM(C28:N28)</f>
        <v>3</v>
      </c>
      <c r="P28" s="556"/>
      <c r="Q28" s="556"/>
      <c r="R28" s="556"/>
      <c r="S28" s="556"/>
      <c r="T28" s="395"/>
      <c r="U28" s="50"/>
      <c r="V28" s="395"/>
      <c r="Y28" s="852"/>
      <c r="Z28" s="852"/>
      <c r="AA28" s="852"/>
      <c r="AB28" s="852"/>
      <c r="AC28" s="852"/>
      <c r="AD28" s="852"/>
      <c r="AE28" s="852"/>
      <c r="AF28" s="852"/>
      <c r="AG28" s="852"/>
      <c r="AH28" s="852"/>
      <c r="AI28" s="852"/>
      <c r="AJ28" s="852"/>
      <c r="AK28" s="852"/>
      <c r="AL28" s="852"/>
      <c r="AM28" s="852"/>
      <c r="AN28" s="852"/>
      <c r="AO28" s="852"/>
      <c r="AP28" s="852"/>
      <c r="AQ28" s="852"/>
      <c r="AR28" s="852"/>
      <c r="AS28" s="852"/>
      <c r="AT28" s="852"/>
      <c r="AU28" s="852"/>
      <c r="AV28" s="852"/>
      <c r="AW28" s="852"/>
      <c r="AX28" s="852"/>
      <c r="AY28" s="852"/>
      <c r="AZ28" s="852"/>
      <c r="BA28" s="852"/>
      <c r="BB28" s="852"/>
      <c r="BC28" s="852"/>
      <c r="BD28" s="852"/>
      <c r="BE28" s="852"/>
      <c r="BF28" s="852"/>
      <c r="BG28" s="852"/>
      <c r="BH28" s="852"/>
      <c r="BI28" s="852"/>
      <c r="BJ28" s="852"/>
      <c r="BK28" s="852"/>
      <c r="BL28" s="852"/>
      <c r="BM28" s="852"/>
      <c r="BN28" s="852"/>
      <c r="BO28" s="852"/>
      <c r="BP28" s="852"/>
      <c r="BQ28" s="852"/>
      <c r="BR28" s="852"/>
      <c r="BS28" s="852"/>
      <c r="BT28" s="852"/>
      <c r="BU28" s="852"/>
      <c r="BV28" s="852"/>
      <c r="BW28" s="852"/>
      <c r="BX28" s="852"/>
      <c r="BY28" s="852"/>
      <c r="BZ28" s="852"/>
      <c r="CA28" s="852"/>
      <c r="CB28" s="852"/>
      <c r="CC28" s="852"/>
      <c r="CD28" s="852"/>
      <c r="CE28" s="852"/>
      <c r="CF28" s="852"/>
      <c r="CG28" s="852"/>
      <c r="CH28" s="852"/>
    </row>
    <row r="29" spans="1:86" ht="18">
      <c r="B29" s="63" t="s">
        <v>57</v>
      </c>
      <c r="C29" s="90"/>
      <c r="D29" s="70"/>
      <c r="E29" s="1497"/>
      <c r="F29" s="294"/>
      <c r="G29" s="294"/>
      <c r="H29" s="393"/>
      <c r="I29" s="393"/>
      <c r="J29" s="393"/>
      <c r="K29" s="393"/>
      <c r="L29" s="393"/>
      <c r="M29" s="393"/>
      <c r="N29" s="395"/>
      <c r="O29" s="556"/>
      <c r="P29" s="556"/>
      <c r="Q29" s="556"/>
      <c r="R29" s="556"/>
      <c r="S29" s="556"/>
      <c r="T29" s="395"/>
      <c r="U29" s="50"/>
      <c r="V29" s="395"/>
      <c r="Y29" s="852"/>
      <c r="Z29" s="852"/>
      <c r="AA29" s="852"/>
      <c r="AB29" s="852"/>
      <c r="AC29" s="852"/>
      <c r="AD29" s="852"/>
      <c r="AE29" s="852"/>
      <c r="AF29" s="852"/>
      <c r="AG29" s="852"/>
      <c r="AH29" s="852"/>
      <c r="AI29" s="852"/>
      <c r="AJ29" s="852"/>
      <c r="AK29" s="852"/>
      <c r="AL29" s="852"/>
      <c r="AM29" s="852"/>
      <c r="AN29" s="852"/>
      <c r="AO29" s="852"/>
      <c r="AP29" s="852"/>
      <c r="AQ29" s="852"/>
      <c r="AR29" s="852"/>
      <c r="AS29" s="852"/>
      <c r="AT29" s="852"/>
      <c r="AU29" s="852"/>
      <c r="AV29" s="852"/>
      <c r="AW29" s="852"/>
      <c r="AX29" s="852"/>
      <c r="AY29" s="852"/>
      <c r="AZ29" s="852"/>
      <c r="BA29" s="852"/>
      <c r="BB29" s="852"/>
      <c r="BC29" s="852"/>
      <c r="BD29" s="852"/>
      <c r="BE29" s="852"/>
      <c r="BF29" s="852"/>
      <c r="BG29" s="852"/>
      <c r="BH29" s="852"/>
      <c r="BI29" s="852"/>
      <c r="BJ29" s="852"/>
      <c r="BK29" s="852"/>
      <c r="BL29" s="852"/>
      <c r="BM29" s="852"/>
      <c r="BN29" s="852"/>
      <c r="BO29" s="852"/>
      <c r="BP29" s="852"/>
      <c r="BQ29" s="852"/>
      <c r="BR29" s="852"/>
      <c r="BS29" s="852"/>
      <c r="BT29" s="852"/>
      <c r="BU29" s="852"/>
      <c r="BV29" s="852"/>
      <c r="BW29" s="852"/>
      <c r="BX29" s="852"/>
      <c r="BY29" s="852"/>
      <c r="BZ29" s="852"/>
      <c r="CA29" s="852"/>
      <c r="CB29" s="852"/>
      <c r="CC29" s="852"/>
      <c r="CD29" s="852"/>
      <c r="CE29" s="852"/>
      <c r="CF29" s="852"/>
      <c r="CG29" s="852"/>
      <c r="CH29" s="852"/>
    </row>
    <row r="30" spans="1:86">
      <c r="B30" s="1052" t="s">
        <v>58</v>
      </c>
      <c r="C30" s="1458">
        <v>12690.758829085196</v>
      </c>
      <c r="D30" s="1458">
        <v>11513.475092402774</v>
      </c>
      <c r="E30" s="1458">
        <v>12980.408354762247</v>
      </c>
      <c r="F30" s="1458">
        <v>10452.845265029977</v>
      </c>
      <c r="G30" s="1458">
        <v>13075.764380317174</v>
      </c>
      <c r="H30" s="1458">
        <v>12402.187950083618</v>
      </c>
      <c r="I30" s="1458">
        <v>12998.293731889298</v>
      </c>
      <c r="J30" s="1458">
        <v>12225.682462285858</v>
      </c>
      <c r="K30" s="1458">
        <v>9707.7139060949303</v>
      </c>
      <c r="L30" s="1458">
        <v>12028.117026422507</v>
      </c>
      <c r="M30" s="1458">
        <v>12312.515061159233</v>
      </c>
      <c r="N30" s="1458">
        <f>IF($E$5=N8,'Monthly Report '!$G$53+'Monthly Report '!$K$53,"")</f>
        <v>10666.489082104383</v>
      </c>
      <c r="O30" s="1432">
        <f t="shared" ref="O30:O36" si="5">SUM(C30:N30)</f>
        <v>143054.25114163719</v>
      </c>
      <c r="P30" s="556"/>
      <c r="Q30" s="556"/>
      <c r="R30" s="556"/>
      <c r="S30" s="556"/>
      <c r="T30" s="64"/>
      <c r="U30" s="50"/>
      <c r="V30" s="50"/>
      <c r="Y30" s="852"/>
      <c r="Z30" s="852"/>
      <c r="AA30" s="852"/>
      <c r="AB30" s="852"/>
      <c r="AC30" s="852"/>
      <c r="AD30" s="852"/>
      <c r="AE30" s="852"/>
      <c r="AF30" s="852"/>
      <c r="AG30" s="852"/>
      <c r="AH30" s="852"/>
      <c r="AI30" s="852"/>
      <c r="AJ30" s="852"/>
      <c r="AK30" s="852"/>
      <c r="AL30" s="852"/>
      <c r="AM30" s="852"/>
      <c r="AN30" s="852"/>
      <c r="AO30" s="852"/>
      <c r="AP30" s="852"/>
      <c r="AQ30" s="852"/>
      <c r="AR30" s="852"/>
      <c r="AS30" s="852"/>
      <c r="AT30" s="852"/>
      <c r="AU30" s="852"/>
      <c r="AV30" s="852"/>
      <c r="AW30" s="852"/>
      <c r="AX30" s="852"/>
      <c r="AY30" s="852"/>
      <c r="AZ30" s="852"/>
      <c r="BA30" s="852"/>
      <c r="BB30" s="852"/>
      <c r="BC30" s="852"/>
      <c r="BD30" s="852"/>
      <c r="BE30" s="852"/>
      <c r="BF30" s="852"/>
      <c r="BG30" s="852"/>
      <c r="BH30" s="852"/>
      <c r="BI30" s="852"/>
      <c r="BJ30" s="852"/>
      <c r="BK30" s="852"/>
      <c r="BL30" s="852"/>
      <c r="BM30" s="852"/>
      <c r="BN30" s="852"/>
      <c r="BO30" s="852"/>
      <c r="BP30" s="852"/>
      <c r="BQ30" s="852"/>
      <c r="BR30" s="852"/>
      <c r="BS30" s="852"/>
      <c r="BT30" s="852"/>
      <c r="BU30" s="852"/>
      <c r="BV30" s="852"/>
      <c r="BW30" s="852"/>
      <c r="BX30" s="852"/>
      <c r="BY30" s="852"/>
      <c r="BZ30" s="852"/>
      <c r="CA30" s="852"/>
      <c r="CB30" s="852"/>
      <c r="CC30" s="852"/>
      <c r="CD30" s="852"/>
      <c r="CE30" s="852"/>
      <c r="CF30" s="852"/>
      <c r="CG30" s="852"/>
      <c r="CH30" s="852"/>
    </row>
    <row r="31" spans="1:86" hidden="1" outlineLevel="1">
      <c r="A31" s="852"/>
      <c r="B31" s="648" t="s">
        <v>415</v>
      </c>
      <c r="C31" s="1433">
        <v>12690.758829085196</v>
      </c>
      <c r="D31" s="1433">
        <v>11513.475092402774</v>
      </c>
      <c r="E31" s="1433">
        <v>12980.408354762247</v>
      </c>
      <c r="F31" s="1433">
        <v>10452.845265029977</v>
      </c>
      <c r="G31" s="1433">
        <v>13075.764380317174</v>
      </c>
      <c r="H31" s="1433">
        <v>12402.187950083618</v>
      </c>
      <c r="I31" s="1433">
        <v>12998.293731889298</v>
      </c>
      <c r="J31" s="1433">
        <v>12225.682462285858</v>
      </c>
      <c r="K31" s="1433">
        <v>9707.7139060949303</v>
      </c>
      <c r="L31" s="1433">
        <v>12028.117026422507</v>
      </c>
      <c r="M31" s="1433">
        <v>12312.515061159233</v>
      </c>
      <c r="N31" s="1433">
        <f t="shared" ref="N31" si="6">IFERROR(N30-N32,"")</f>
        <v>10666.489082104383</v>
      </c>
      <c r="O31" s="409">
        <f t="shared" si="5"/>
        <v>143054.25114163719</v>
      </c>
      <c r="P31" s="556"/>
      <c r="Q31" s="556"/>
      <c r="R31" s="556"/>
      <c r="S31" s="556"/>
      <c r="T31" s="68"/>
      <c r="U31" s="277"/>
      <c r="V31" s="68"/>
      <c r="Y31" s="852"/>
      <c r="Z31" s="852"/>
      <c r="AA31" s="852"/>
      <c r="AB31" s="852"/>
      <c r="AC31" s="852"/>
      <c r="AD31" s="852"/>
      <c r="AE31" s="852"/>
      <c r="AF31" s="852"/>
      <c r="AG31" s="852"/>
      <c r="AH31" s="852"/>
      <c r="AI31" s="852"/>
      <c r="AJ31" s="852"/>
      <c r="AK31" s="852"/>
      <c r="AL31" s="852"/>
      <c r="AM31" s="852"/>
      <c r="AN31" s="852"/>
      <c r="AO31" s="852"/>
      <c r="AP31" s="852"/>
      <c r="AQ31" s="852"/>
      <c r="AR31" s="852"/>
      <c r="AS31" s="852"/>
      <c r="AT31" s="852"/>
      <c r="AU31" s="852"/>
      <c r="AV31" s="852"/>
      <c r="AW31" s="852"/>
      <c r="AX31" s="852"/>
      <c r="AY31" s="852"/>
      <c r="AZ31" s="852"/>
      <c r="BA31" s="852"/>
      <c r="BB31" s="852"/>
      <c r="BC31" s="852"/>
      <c r="BD31" s="852"/>
      <c r="BE31" s="852"/>
      <c r="BF31" s="852"/>
      <c r="BG31" s="852"/>
      <c r="BH31" s="852"/>
      <c r="BI31" s="852"/>
      <c r="BJ31" s="852"/>
      <c r="BK31" s="852"/>
      <c r="BL31" s="852"/>
      <c r="BM31" s="852"/>
      <c r="BN31" s="852"/>
      <c r="BO31" s="852"/>
      <c r="BP31" s="852"/>
      <c r="BQ31" s="852"/>
      <c r="BR31" s="852"/>
      <c r="BS31" s="852"/>
      <c r="BT31" s="852"/>
      <c r="BU31" s="852"/>
      <c r="BV31" s="852"/>
      <c r="BW31" s="852"/>
      <c r="BX31" s="852"/>
      <c r="BY31" s="852"/>
      <c r="BZ31" s="852"/>
      <c r="CA31" s="852"/>
      <c r="CB31" s="852"/>
      <c r="CC31" s="852"/>
      <c r="CD31" s="852"/>
      <c r="CE31" s="852"/>
      <c r="CF31" s="852"/>
      <c r="CG31" s="852"/>
      <c r="CH31" s="852"/>
    </row>
    <row r="32" spans="1:86" hidden="1" outlineLevel="1">
      <c r="A32" s="852"/>
      <c r="B32" s="717" t="s">
        <v>416</v>
      </c>
      <c r="C32" s="1435"/>
      <c r="D32" s="1435"/>
      <c r="E32" s="1435"/>
      <c r="F32" s="1435"/>
      <c r="G32" s="1435"/>
      <c r="H32" s="1435"/>
      <c r="I32" s="1435"/>
      <c r="J32" s="1435"/>
      <c r="K32" s="1435"/>
      <c r="L32" s="1435"/>
      <c r="M32" s="1435"/>
      <c r="N32" s="1435"/>
      <c r="O32" s="409">
        <f t="shared" si="5"/>
        <v>0</v>
      </c>
      <c r="P32" s="556"/>
      <c r="Q32" s="556"/>
      <c r="R32" s="556"/>
      <c r="S32" s="556"/>
      <c r="T32" s="68"/>
      <c r="U32" s="277"/>
      <c r="V32" s="68"/>
      <c r="Y32" s="852"/>
      <c r="Z32" s="852"/>
      <c r="AA32" s="852"/>
      <c r="AB32" s="852"/>
      <c r="AC32" s="852"/>
      <c r="AD32" s="852"/>
      <c r="AE32" s="852"/>
      <c r="AF32" s="852"/>
      <c r="AG32" s="852"/>
      <c r="AH32" s="852"/>
      <c r="AI32" s="852"/>
      <c r="AJ32" s="852"/>
      <c r="AK32" s="852"/>
      <c r="AL32" s="852"/>
      <c r="AM32" s="852"/>
      <c r="AN32" s="852"/>
      <c r="AO32" s="852"/>
      <c r="AP32" s="852"/>
      <c r="AQ32" s="852"/>
      <c r="AR32" s="852"/>
      <c r="AS32" s="852"/>
      <c r="AT32" s="852"/>
      <c r="AU32" s="852"/>
      <c r="AV32" s="852"/>
      <c r="AW32" s="852"/>
      <c r="AX32" s="852"/>
      <c r="AY32" s="852"/>
      <c r="AZ32" s="852"/>
      <c r="BA32" s="852"/>
      <c r="BB32" s="852"/>
      <c r="BC32" s="852"/>
      <c r="BD32" s="852"/>
      <c r="BE32" s="852"/>
      <c r="BF32" s="852"/>
      <c r="BG32" s="852"/>
      <c r="BH32" s="852"/>
      <c r="BI32" s="852"/>
      <c r="BJ32" s="852"/>
      <c r="BK32" s="852"/>
      <c r="BL32" s="852"/>
      <c r="BM32" s="852"/>
      <c r="BN32" s="852"/>
      <c r="BO32" s="852"/>
      <c r="BP32" s="852"/>
      <c r="BQ32" s="852"/>
      <c r="BR32" s="852"/>
      <c r="BS32" s="852"/>
      <c r="BT32" s="852"/>
      <c r="BU32" s="852"/>
      <c r="BV32" s="852"/>
      <c r="BW32" s="852"/>
      <c r="BX32" s="852"/>
      <c r="BY32" s="852"/>
      <c r="BZ32" s="852"/>
      <c r="CA32" s="852"/>
      <c r="CB32" s="852"/>
      <c r="CC32" s="852"/>
      <c r="CD32" s="852"/>
      <c r="CE32" s="852"/>
      <c r="CF32" s="852"/>
      <c r="CG32" s="852"/>
      <c r="CH32" s="852"/>
    </row>
    <row r="33" spans="1:86" collapsed="1">
      <c r="B33" s="1052" t="s">
        <v>59</v>
      </c>
      <c r="C33" s="1458">
        <v>4133.5355490553438</v>
      </c>
      <c r="D33" s="1458">
        <v>3689.7241985738683</v>
      </c>
      <c r="E33" s="1458">
        <v>4236.9626960865671</v>
      </c>
      <c r="F33" s="1458">
        <v>3383.7757214667927</v>
      </c>
      <c r="G33" s="1458">
        <v>4201.7421831197789</v>
      </c>
      <c r="H33" s="1458">
        <v>3985.5857812904824</v>
      </c>
      <c r="I33" s="1458">
        <v>4224.3127480696157</v>
      </c>
      <c r="J33" s="1458">
        <v>4010.7589199344934</v>
      </c>
      <c r="K33" s="1458">
        <v>3113.7628630209747</v>
      </c>
      <c r="L33" s="1458">
        <v>3917.5591340711794</v>
      </c>
      <c r="M33" s="1458">
        <v>4010.1709724505681</v>
      </c>
      <c r="N33" s="1458">
        <f>IF($E$5=N8,'Monthly Report '!$G$54+'Monthly Report '!$K$54,"")</f>
        <v>3466.4804360039002</v>
      </c>
      <c r="O33" s="1432">
        <f t="shared" si="5"/>
        <v>46374.371203143564</v>
      </c>
      <c r="P33" s="556"/>
      <c r="Q33" s="556"/>
      <c r="R33" s="556"/>
      <c r="S33" s="556"/>
      <c r="T33" s="64"/>
      <c r="U33" s="557"/>
      <c r="V33" s="557"/>
      <c r="Y33" s="852"/>
      <c r="Z33" s="852"/>
      <c r="AA33" s="852"/>
      <c r="AB33" s="852"/>
      <c r="AC33" s="852"/>
      <c r="AD33" s="852"/>
      <c r="AE33" s="852"/>
      <c r="AF33" s="852"/>
      <c r="AG33" s="852"/>
      <c r="AH33" s="852"/>
      <c r="AI33" s="852"/>
      <c r="AJ33" s="852"/>
      <c r="AK33" s="852"/>
      <c r="AL33" s="852"/>
      <c r="AM33" s="852"/>
      <c r="AN33" s="852"/>
      <c r="AO33" s="852"/>
      <c r="AP33" s="852"/>
      <c r="AQ33" s="852"/>
      <c r="AR33" s="852"/>
      <c r="AS33" s="852"/>
      <c r="AT33" s="852"/>
      <c r="AU33" s="852"/>
      <c r="AV33" s="852"/>
      <c r="AW33" s="852"/>
      <c r="AX33" s="852"/>
      <c r="AY33" s="852"/>
      <c r="AZ33" s="852"/>
      <c r="BA33" s="852"/>
      <c r="BB33" s="852"/>
      <c r="BC33" s="852"/>
      <c r="BD33" s="852"/>
      <c r="BE33" s="852"/>
      <c r="BF33" s="852"/>
      <c r="BG33" s="852"/>
      <c r="BH33" s="852"/>
      <c r="BI33" s="852"/>
      <c r="BJ33" s="852"/>
      <c r="BK33" s="852"/>
      <c r="BL33" s="852"/>
      <c r="BM33" s="852"/>
      <c r="BN33" s="852"/>
      <c r="BO33" s="852"/>
      <c r="BP33" s="852"/>
      <c r="BQ33" s="852"/>
      <c r="BR33" s="852"/>
      <c r="BS33" s="852"/>
      <c r="BT33" s="852"/>
      <c r="BU33" s="852"/>
      <c r="BV33" s="852"/>
      <c r="BW33" s="852"/>
      <c r="BX33" s="852"/>
      <c r="BY33" s="852"/>
      <c r="BZ33" s="852"/>
      <c r="CA33" s="852"/>
      <c r="CB33" s="852"/>
      <c r="CC33" s="852"/>
      <c r="CD33" s="852"/>
      <c r="CE33" s="852"/>
      <c r="CF33" s="852"/>
      <c r="CG33" s="852"/>
      <c r="CH33" s="852"/>
    </row>
    <row r="34" spans="1:86" hidden="1" outlineLevel="1">
      <c r="A34" s="852"/>
      <c r="B34" s="648" t="s">
        <v>415</v>
      </c>
      <c r="C34" s="1433">
        <v>4133.5355490553438</v>
      </c>
      <c r="D34" s="1433">
        <v>3689.7241985738683</v>
      </c>
      <c r="E34" s="1433">
        <v>4236.9626960865671</v>
      </c>
      <c r="F34" s="1433">
        <v>3383.7757214667927</v>
      </c>
      <c r="G34" s="1433">
        <v>4201.7421831197789</v>
      </c>
      <c r="H34" s="1433">
        <v>3985.5857812904824</v>
      </c>
      <c r="I34" s="1433">
        <v>4224.3127480696157</v>
      </c>
      <c r="J34" s="1433">
        <v>4010.7589199344934</v>
      </c>
      <c r="K34" s="1433">
        <v>3113.7628630209747</v>
      </c>
      <c r="L34" s="1433">
        <v>3917.5591340711794</v>
      </c>
      <c r="M34" s="1433">
        <v>4010.1709724505681</v>
      </c>
      <c r="N34" s="1433">
        <f t="shared" ref="N34" si="7">IFERROR(N33-N35,"")</f>
        <v>3466.4804360039002</v>
      </c>
      <c r="O34" s="409">
        <f t="shared" si="5"/>
        <v>46374.371203143564</v>
      </c>
      <c r="P34" s="556"/>
      <c r="Q34" s="556"/>
      <c r="R34" s="556"/>
      <c r="S34" s="556"/>
      <c r="T34" s="68"/>
      <c r="U34" s="277"/>
      <c r="V34" s="68"/>
      <c r="Y34" s="852"/>
      <c r="Z34" s="852"/>
      <c r="AA34" s="852"/>
      <c r="AB34" s="852"/>
      <c r="AC34" s="852"/>
      <c r="AD34" s="852"/>
      <c r="AE34" s="852"/>
      <c r="AF34" s="852"/>
      <c r="AG34" s="852"/>
      <c r="AH34" s="852"/>
      <c r="AI34" s="852"/>
      <c r="AJ34" s="852"/>
      <c r="AK34" s="852"/>
      <c r="AL34" s="852"/>
      <c r="AM34" s="852"/>
      <c r="AN34" s="852"/>
      <c r="AO34" s="852"/>
      <c r="AP34" s="852"/>
      <c r="AQ34" s="852"/>
      <c r="AR34" s="852"/>
      <c r="AS34" s="852"/>
      <c r="AT34" s="852"/>
      <c r="AU34" s="852"/>
      <c r="AV34" s="852"/>
      <c r="AW34" s="852"/>
      <c r="AX34" s="852"/>
      <c r="AY34" s="852"/>
      <c r="AZ34" s="852"/>
      <c r="BA34" s="852"/>
      <c r="BB34" s="852"/>
      <c r="BC34" s="852"/>
      <c r="BD34" s="852"/>
      <c r="BE34" s="852"/>
      <c r="BF34" s="852"/>
      <c r="BG34" s="852"/>
      <c r="BH34" s="852"/>
      <c r="BI34" s="852"/>
      <c r="BJ34" s="852"/>
      <c r="BK34" s="852"/>
      <c r="BL34" s="852"/>
      <c r="BM34" s="852"/>
      <c r="BN34" s="852"/>
      <c r="BO34" s="852"/>
      <c r="BP34" s="852"/>
      <c r="BQ34" s="852"/>
      <c r="BR34" s="852"/>
      <c r="BS34" s="852"/>
      <c r="BT34" s="852"/>
      <c r="BU34" s="852"/>
      <c r="BV34" s="852"/>
      <c r="BW34" s="852"/>
      <c r="BX34" s="852"/>
      <c r="BY34" s="852"/>
      <c r="BZ34" s="852"/>
      <c r="CA34" s="852"/>
      <c r="CB34" s="852"/>
      <c r="CC34" s="852"/>
      <c r="CD34" s="852"/>
      <c r="CE34" s="852"/>
      <c r="CF34" s="852"/>
      <c r="CG34" s="852"/>
      <c r="CH34" s="852"/>
    </row>
    <row r="35" spans="1:86" hidden="1" outlineLevel="1">
      <c r="A35" s="852"/>
      <c r="B35" s="717" t="s">
        <v>416</v>
      </c>
      <c r="C35" s="1435"/>
      <c r="D35" s="1435"/>
      <c r="E35" s="1435"/>
      <c r="F35" s="1435"/>
      <c r="G35" s="1435"/>
      <c r="H35" s="1435"/>
      <c r="I35" s="1435"/>
      <c r="J35" s="1435"/>
      <c r="K35" s="1435"/>
      <c r="L35" s="1435"/>
      <c r="M35" s="1435"/>
      <c r="N35" s="1435"/>
      <c r="O35" s="1481">
        <f t="shared" si="5"/>
        <v>0</v>
      </c>
      <c r="P35" s="556"/>
      <c r="Q35" s="556"/>
      <c r="R35" s="556"/>
      <c r="S35" s="556"/>
      <c r="T35" s="68"/>
      <c r="U35" s="277"/>
      <c r="V35" s="68"/>
      <c r="Y35" s="852"/>
      <c r="Z35" s="852"/>
      <c r="AA35" s="852"/>
      <c r="AB35" s="852"/>
      <c r="AC35" s="852"/>
      <c r="AD35" s="852"/>
      <c r="AE35" s="852"/>
      <c r="AF35" s="852"/>
      <c r="AG35" s="852"/>
      <c r="AH35" s="852"/>
      <c r="AI35" s="852"/>
      <c r="AJ35" s="852"/>
      <c r="AK35" s="852"/>
      <c r="AL35" s="852"/>
      <c r="AM35" s="852"/>
      <c r="AN35" s="852"/>
      <c r="AO35" s="852"/>
      <c r="AP35" s="852"/>
      <c r="AQ35" s="852"/>
      <c r="AR35" s="852"/>
      <c r="AS35" s="852"/>
      <c r="AT35" s="852"/>
      <c r="AU35" s="852"/>
      <c r="AV35" s="852"/>
      <c r="AW35" s="852"/>
      <c r="AX35" s="852"/>
      <c r="AY35" s="852"/>
      <c r="AZ35" s="852"/>
      <c r="BA35" s="852"/>
      <c r="BB35" s="852"/>
      <c r="BC35" s="852"/>
      <c r="BD35" s="852"/>
      <c r="BE35" s="852"/>
      <c r="BF35" s="852"/>
      <c r="BG35" s="852"/>
      <c r="BH35" s="852"/>
      <c r="BI35" s="852"/>
      <c r="BJ35" s="852"/>
      <c r="BK35" s="852"/>
      <c r="BL35" s="852"/>
      <c r="BM35" s="852"/>
      <c r="BN35" s="852"/>
      <c r="BO35" s="852"/>
      <c r="BP35" s="852"/>
      <c r="BQ35" s="852"/>
      <c r="BR35" s="852"/>
      <c r="BS35" s="852"/>
      <c r="BT35" s="852"/>
      <c r="BU35" s="852"/>
      <c r="BV35" s="852"/>
      <c r="BW35" s="852"/>
      <c r="BX35" s="852"/>
      <c r="BY35" s="852"/>
      <c r="BZ35" s="852"/>
      <c r="CA35" s="852"/>
      <c r="CB35" s="852"/>
      <c r="CC35" s="852"/>
      <c r="CD35" s="852"/>
      <c r="CE35" s="852"/>
      <c r="CF35" s="852"/>
      <c r="CG35" s="852"/>
      <c r="CH35" s="852"/>
    </row>
    <row r="36" spans="1:86" collapsed="1">
      <c r="B36" s="57" t="s">
        <v>60</v>
      </c>
      <c r="C36" s="1482">
        <v>16824.294378140541</v>
      </c>
      <c r="D36" s="1482">
        <v>15203.199290976641</v>
      </c>
      <c r="E36" s="1482">
        <v>17217.371050848815</v>
      </c>
      <c r="F36" s="1482">
        <v>13836.62098649677</v>
      </c>
      <c r="G36" s="1482">
        <v>17277.506563436953</v>
      </c>
      <c r="H36" s="1482">
        <v>16387.773731374102</v>
      </c>
      <c r="I36" s="1482">
        <v>17222.606479958915</v>
      </c>
      <c r="J36" s="1482">
        <v>16236.441382220351</v>
      </c>
      <c r="K36" s="1482">
        <v>12821.476769115905</v>
      </c>
      <c r="L36" s="1482">
        <v>15945.676160493687</v>
      </c>
      <c r="M36" s="1482">
        <v>16322.6860336098</v>
      </c>
      <c r="N36" s="1482">
        <f t="shared" ref="N36" si="8">IFERROR(N31+N34,"")</f>
        <v>14132.969518108283</v>
      </c>
      <c r="O36" s="1432">
        <f t="shared" si="5"/>
        <v>189428.62234478077</v>
      </c>
      <c r="P36" s="556"/>
      <c r="Q36" s="556"/>
      <c r="R36" s="556"/>
      <c r="S36" s="556"/>
      <c r="U36" s="557"/>
      <c r="V36" s="50"/>
      <c r="Y36" s="852"/>
      <c r="Z36" s="852"/>
      <c r="AA36" s="852"/>
      <c r="AB36" s="852"/>
      <c r="AC36" s="852"/>
      <c r="AD36" s="852"/>
      <c r="AE36" s="852"/>
      <c r="AF36" s="852"/>
      <c r="AG36" s="852"/>
      <c r="AH36" s="852"/>
      <c r="AI36" s="852"/>
      <c r="AJ36" s="852"/>
      <c r="AK36" s="852"/>
      <c r="AL36" s="852"/>
      <c r="AM36" s="852"/>
      <c r="AN36" s="852"/>
      <c r="AO36" s="852"/>
      <c r="AP36" s="852"/>
      <c r="AQ36" s="852"/>
      <c r="AR36" s="852"/>
      <c r="AS36" s="852"/>
      <c r="AT36" s="852"/>
      <c r="AU36" s="852"/>
      <c r="AV36" s="852"/>
      <c r="AW36" s="852"/>
      <c r="AX36" s="852"/>
      <c r="AY36" s="852"/>
      <c r="AZ36" s="852"/>
      <c r="BA36" s="852"/>
      <c r="BB36" s="852"/>
      <c r="BC36" s="852"/>
      <c r="BD36" s="852"/>
      <c r="BE36" s="852"/>
      <c r="BF36" s="852"/>
      <c r="BG36" s="852"/>
      <c r="BH36" s="852"/>
      <c r="BI36" s="852"/>
      <c r="BJ36" s="852"/>
      <c r="BK36" s="852"/>
      <c r="BL36" s="852"/>
      <c r="BM36" s="852"/>
      <c r="BN36" s="852"/>
      <c r="BO36" s="852"/>
      <c r="BP36" s="852"/>
      <c r="BQ36" s="852"/>
      <c r="BR36" s="852"/>
      <c r="BS36" s="852"/>
      <c r="BT36" s="852"/>
      <c r="BU36" s="852"/>
      <c r="BV36" s="852"/>
      <c r="BW36" s="852"/>
      <c r="BX36" s="852"/>
      <c r="BY36" s="852"/>
      <c r="BZ36" s="852"/>
      <c r="CA36" s="852"/>
      <c r="CB36" s="852"/>
      <c r="CC36" s="852"/>
      <c r="CD36" s="852"/>
      <c r="CE36" s="852"/>
      <c r="CF36" s="852"/>
      <c r="CG36" s="852"/>
      <c r="CH36" s="852"/>
    </row>
    <row r="37" spans="1:86" ht="18" outlineLevel="1">
      <c r="B37" s="67" t="s">
        <v>61</v>
      </c>
      <c r="C37" s="329"/>
      <c r="D37" s="658"/>
      <c r="E37" s="329"/>
      <c r="F37" s="1191"/>
      <c r="G37" s="329"/>
      <c r="H37" s="1194"/>
      <c r="I37" s="329"/>
      <c r="J37" s="658"/>
      <c r="K37" s="849"/>
      <c r="L37" s="849"/>
      <c r="M37" s="329"/>
      <c r="N37" s="329"/>
      <c r="O37" s="68"/>
      <c r="P37" s="556"/>
      <c r="Q37" s="556"/>
      <c r="R37" s="556"/>
      <c r="S37" s="556"/>
      <c r="T37" s="68"/>
      <c r="U37" s="277"/>
      <c r="V37" s="68"/>
      <c r="Y37" s="852"/>
      <c r="Z37" s="852"/>
      <c r="AA37" s="852"/>
      <c r="AB37" s="852"/>
      <c r="AC37" s="852"/>
      <c r="AD37" s="852"/>
      <c r="AE37" s="852"/>
      <c r="AF37" s="852"/>
      <c r="AG37" s="852"/>
      <c r="AH37" s="852"/>
      <c r="AI37" s="852"/>
      <c r="AJ37" s="852"/>
      <c r="AK37" s="852"/>
      <c r="AL37" s="852"/>
      <c r="AM37" s="852"/>
      <c r="AN37" s="852"/>
      <c r="AO37" s="852"/>
      <c r="AP37" s="852"/>
      <c r="AQ37" s="852"/>
      <c r="AR37" s="852"/>
      <c r="AS37" s="852"/>
      <c r="AT37" s="852"/>
      <c r="AU37" s="852"/>
      <c r="AV37" s="852"/>
      <c r="AW37" s="852"/>
      <c r="AX37" s="852"/>
      <c r="AY37" s="852"/>
      <c r="AZ37" s="852"/>
      <c r="BA37" s="852"/>
      <c r="BB37" s="852"/>
      <c r="BC37" s="852"/>
      <c r="BD37" s="852"/>
      <c r="BE37" s="852"/>
      <c r="BF37" s="852"/>
      <c r="BG37" s="852"/>
      <c r="BH37" s="852"/>
      <c r="BI37" s="852"/>
      <c r="BJ37" s="852"/>
      <c r="BK37" s="852"/>
      <c r="BL37" s="852"/>
      <c r="BM37" s="852"/>
      <c r="BN37" s="852"/>
      <c r="BO37" s="852"/>
      <c r="BP37" s="852"/>
      <c r="BQ37" s="852"/>
      <c r="BR37" s="852"/>
      <c r="BS37" s="852"/>
      <c r="BT37" s="852"/>
      <c r="BU37" s="852"/>
      <c r="BV37" s="852"/>
      <c r="BW37" s="852"/>
      <c r="BX37" s="852"/>
      <c r="BY37" s="852"/>
      <c r="BZ37" s="852"/>
      <c r="CA37" s="852"/>
      <c r="CB37" s="852"/>
      <c r="CC37" s="852"/>
      <c r="CD37" s="852"/>
      <c r="CE37" s="852"/>
      <c r="CF37" s="852"/>
      <c r="CG37" s="852"/>
      <c r="CH37" s="852"/>
    </row>
    <row r="38" spans="1:86" outlineLevel="1">
      <c r="B38" s="320" t="s">
        <v>54</v>
      </c>
      <c r="C38" s="1289">
        <v>43466</v>
      </c>
      <c r="D38" s="1289">
        <v>43497</v>
      </c>
      <c r="E38" s="1289">
        <v>43525</v>
      </c>
      <c r="F38" s="1289">
        <v>43556</v>
      </c>
      <c r="G38" s="1289">
        <v>43586</v>
      </c>
      <c r="H38" s="1289">
        <v>43617</v>
      </c>
      <c r="I38" s="1289">
        <v>43647</v>
      </c>
      <c r="J38" s="1289">
        <v>43678</v>
      </c>
      <c r="K38" s="1289">
        <v>43709</v>
      </c>
      <c r="L38" s="1289">
        <v>43739</v>
      </c>
      <c r="M38" s="1289">
        <v>43770</v>
      </c>
      <c r="N38" s="1289">
        <v>43800</v>
      </c>
      <c r="O38" s="69" t="s">
        <v>42</v>
      </c>
      <c r="P38" s="556"/>
      <c r="Q38" s="556"/>
      <c r="R38" s="556"/>
      <c r="S38" s="556"/>
      <c r="T38" s="68"/>
      <c r="U38" s="277"/>
      <c r="V38" s="68"/>
      <c r="Y38" s="852"/>
      <c r="Z38" s="852"/>
      <c r="AA38" s="852"/>
      <c r="AB38" s="852"/>
      <c r="AC38" s="852"/>
      <c r="AD38" s="852"/>
      <c r="AE38" s="852"/>
      <c r="AF38" s="852"/>
      <c r="AG38" s="852"/>
      <c r="AH38" s="852"/>
      <c r="AI38" s="852"/>
      <c r="AJ38" s="852"/>
      <c r="AK38" s="852"/>
      <c r="AL38" s="852"/>
      <c r="AM38" s="852"/>
      <c r="AN38" s="852"/>
      <c r="AO38" s="852"/>
      <c r="AP38" s="852"/>
      <c r="AQ38" s="852"/>
      <c r="AR38" s="852"/>
      <c r="AS38" s="852"/>
      <c r="AT38" s="852"/>
      <c r="AU38" s="852"/>
      <c r="AV38" s="852"/>
      <c r="AW38" s="852"/>
      <c r="AX38" s="852"/>
      <c r="AY38" s="852"/>
      <c r="AZ38" s="852"/>
      <c r="BA38" s="852"/>
      <c r="BB38" s="852"/>
      <c r="BC38" s="852"/>
      <c r="BD38" s="852"/>
      <c r="BE38" s="852"/>
      <c r="BF38" s="852"/>
      <c r="BG38" s="852"/>
      <c r="BH38" s="852"/>
      <c r="BI38" s="852"/>
      <c r="BJ38" s="852"/>
      <c r="BK38" s="852"/>
      <c r="BL38" s="852"/>
      <c r="BM38" s="852"/>
      <c r="BN38" s="852"/>
      <c r="BO38" s="852"/>
      <c r="BP38" s="852"/>
      <c r="BQ38" s="852"/>
      <c r="BR38" s="852"/>
      <c r="BS38" s="852"/>
      <c r="BT38" s="852"/>
      <c r="BU38" s="852"/>
      <c r="BV38" s="852"/>
      <c r="BW38" s="852"/>
      <c r="BX38" s="852"/>
      <c r="BY38" s="852"/>
      <c r="BZ38" s="852"/>
      <c r="CA38" s="852"/>
      <c r="CB38" s="852"/>
      <c r="CC38" s="852"/>
      <c r="CD38" s="852"/>
      <c r="CE38" s="852"/>
      <c r="CF38" s="852"/>
      <c r="CG38" s="852"/>
      <c r="CH38" s="852"/>
    </row>
    <row r="39" spans="1:86" outlineLevel="1">
      <c r="B39" s="719" t="s">
        <v>62</v>
      </c>
      <c r="C39" s="1429">
        <v>41845.410000000003</v>
      </c>
      <c r="D39" s="1429">
        <f>38305.81-8.51</f>
        <v>38297.299999999996</v>
      </c>
      <c r="E39" s="1430">
        <v>42604.63</v>
      </c>
      <c r="F39" s="1430">
        <v>34781.050000000003</v>
      </c>
      <c r="G39" s="1430">
        <v>40196.730000000003</v>
      </c>
      <c r="H39" s="1430">
        <v>38296.01</v>
      </c>
      <c r="I39" s="1431">
        <v>38538.449999999997</v>
      </c>
      <c r="J39" s="1430">
        <v>38113.629999999997</v>
      </c>
      <c r="K39" s="1430">
        <v>34759.14</v>
      </c>
      <c r="L39" s="1430">
        <v>37748.639999999999</v>
      </c>
      <c r="M39" s="1430">
        <v>38402.57</v>
      </c>
      <c r="N39" s="1430">
        <v>39062.889999999665</v>
      </c>
      <c r="O39" s="1432">
        <f t="shared" ref="O39:O48" si="9">SUM(C39:N39)</f>
        <v>462646.44999999972</v>
      </c>
      <c r="P39" s="556"/>
      <c r="Q39" s="556"/>
      <c r="R39" s="556"/>
      <c r="S39" s="556"/>
      <c r="T39" s="68"/>
      <c r="U39" s="277"/>
      <c r="V39" s="68"/>
      <c r="Y39" s="852"/>
      <c r="Z39" s="852"/>
      <c r="AA39" s="852"/>
      <c r="AB39" s="852"/>
      <c r="AC39" s="852"/>
      <c r="AD39" s="852"/>
      <c r="AE39" s="852"/>
      <c r="AF39" s="852"/>
      <c r="AG39" s="852"/>
      <c r="AH39" s="852"/>
      <c r="AI39" s="852"/>
      <c r="AJ39" s="852"/>
      <c r="AK39" s="852"/>
      <c r="AL39" s="852"/>
      <c r="AM39" s="852"/>
      <c r="AN39" s="852"/>
      <c r="AO39" s="852"/>
      <c r="AP39" s="852"/>
      <c r="AQ39" s="852"/>
      <c r="AR39" s="852"/>
      <c r="AS39" s="852"/>
      <c r="AT39" s="852"/>
      <c r="AU39" s="852"/>
      <c r="AV39" s="852"/>
      <c r="AW39" s="852"/>
      <c r="AX39" s="852"/>
      <c r="AY39" s="852"/>
      <c r="AZ39" s="852"/>
      <c r="BA39" s="852"/>
      <c r="BB39" s="852"/>
      <c r="BC39" s="852"/>
      <c r="BD39" s="852"/>
      <c r="BE39" s="852"/>
      <c r="BF39" s="852"/>
      <c r="BG39" s="852"/>
      <c r="BH39" s="852"/>
      <c r="BI39" s="852"/>
      <c r="BJ39" s="852"/>
      <c r="BK39" s="852"/>
      <c r="BL39" s="852"/>
      <c r="BM39" s="852"/>
      <c r="BN39" s="852"/>
      <c r="BO39" s="852"/>
      <c r="BP39" s="852"/>
      <c r="BQ39" s="852"/>
      <c r="BR39" s="852"/>
      <c r="BS39" s="852"/>
      <c r="BT39" s="852"/>
      <c r="BU39" s="852"/>
      <c r="BV39" s="852"/>
      <c r="BW39" s="852"/>
      <c r="BX39" s="852"/>
      <c r="BY39" s="852"/>
      <c r="BZ39" s="852"/>
      <c r="CA39" s="852"/>
      <c r="CB39" s="852"/>
      <c r="CC39" s="852"/>
      <c r="CD39" s="852"/>
      <c r="CE39" s="852"/>
      <c r="CF39" s="852"/>
      <c r="CG39" s="852"/>
      <c r="CH39" s="852"/>
    </row>
    <row r="40" spans="1:86" outlineLevel="1">
      <c r="B40" s="716" t="s">
        <v>415</v>
      </c>
      <c r="C40" s="1433">
        <f>IFERROR(C39-C41-C42-C43,"")</f>
        <v>41845.410000000003</v>
      </c>
      <c r="D40" s="1433">
        <f t="shared" ref="D40:N40" si="10">IFERROR(D39-D41-D42-D43,"")</f>
        <v>37125.755914509849</v>
      </c>
      <c r="E40" s="1433">
        <f t="shared" si="10"/>
        <v>42604.63</v>
      </c>
      <c r="F40" s="1433">
        <f t="shared" si="10"/>
        <v>31335.431285530834</v>
      </c>
      <c r="G40" s="1433">
        <f t="shared" si="10"/>
        <v>40196.730000000003</v>
      </c>
      <c r="H40" s="1433">
        <f t="shared" si="10"/>
        <v>38296.01</v>
      </c>
      <c r="I40" s="1433">
        <f t="shared" si="10"/>
        <v>38538.449999999997</v>
      </c>
      <c r="J40" s="1433">
        <f t="shared" si="10"/>
        <v>38113.629999999997</v>
      </c>
      <c r="K40" s="1433">
        <f t="shared" si="10"/>
        <v>32865.775000000001</v>
      </c>
      <c r="L40" s="1433">
        <f t="shared" si="10"/>
        <v>37748.639999999999</v>
      </c>
      <c r="M40" s="1433">
        <f t="shared" si="10"/>
        <v>38402.57</v>
      </c>
      <c r="N40" s="1433">
        <f t="shared" si="10"/>
        <v>36729.889999999665</v>
      </c>
      <c r="O40" s="715">
        <f t="shared" si="9"/>
        <v>453802.92220004043</v>
      </c>
      <c r="P40" s="556"/>
      <c r="Q40" s="556"/>
      <c r="R40" s="556"/>
      <c r="S40" s="556"/>
      <c r="T40" s="68"/>
      <c r="U40" s="277"/>
      <c r="V40" s="68"/>
      <c r="Y40" s="852"/>
      <c r="Z40" s="852"/>
      <c r="AA40" s="852"/>
      <c r="AB40" s="852"/>
      <c r="AC40" s="852"/>
      <c r="AD40" s="852"/>
      <c r="AE40" s="852"/>
      <c r="AF40" s="852"/>
      <c r="AG40" s="852"/>
      <c r="AH40" s="852"/>
      <c r="AI40" s="852"/>
      <c r="AJ40" s="852"/>
      <c r="AK40" s="852"/>
      <c r="AL40" s="852"/>
      <c r="AM40" s="852"/>
      <c r="AN40" s="852"/>
      <c r="AO40" s="852"/>
      <c r="AP40" s="852"/>
      <c r="AQ40" s="852"/>
      <c r="AR40" s="852"/>
      <c r="AS40" s="852"/>
      <c r="AT40" s="852"/>
      <c r="AU40" s="852"/>
      <c r="AV40" s="852"/>
      <c r="AW40" s="852"/>
      <c r="AX40" s="852"/>
      <c r="AY40" s="852"/>
      <c r="AZ40" s="852"/>
      <c r="BA40" s="852"/>
      <c r="BB40" s="852"/>
      <c r="BC40" s="852"/>
      <c r="BD40" s="852"/>
      <c r="BE40" s="852"/>
      <c r="BF40" s="852"/>
      <c r="BG40" s="852"/>
      <c r="BH40" s="852"/>
      <c r="BI40" s="852"/>
      <c r="BJ40" s="852"/>
      <c r="BK40" s="852"/>
      <c r="BL40" s="852"/>
      <c r="BM40" s="852"/>
      <c r="BN40" s="852"/>
      <c r="BO40" s="852"/>
      <c r="BP40" s="852"/>
      <c r="BQ40" s="852"/>
      <c r="BR40" s="852"/>
      <c r="BS40" s="852"/>
      <c r="BT40" s="852"/>
      <c r="BU40" s="852"/>
      <c r="BV40" s="852"/>
      <c r="BW40" s="852"/>
      <c r="BX40" s="852"/>
      <c r="BY40" s="852"/>
      <c r="BZ40" s="852"/>
      <c r="CA40" s="852"/>
      <c r="CB40" s="852"/>
      <c r="CC40" s="852"/>
      <c r="CD40" s="852"/>
      <c r="CE40" s="852"/>
      <c r="CF40" s="852"/>
      <c r="CG40" s="852"/>
      <c r="CH40" s="852"/>
    </row>
    <row r="41" spans="1:86" outlineLevel="1">
      <c r="B41" s="717" t="s">
        <v>416</v>
      </c>
      <c r="C41" s="1434"/>
      <c r="D41" s="1434"/>
      <c r="E41" s="1435"/>
      <c r="F41" s="1436"/>
      <c r="G41" s="1435"/>
      <c r="H41" s="1435"/>
      <c r="I41" s="1435"/>
      <c r="J41" s="1435"/>
      <c r="K41" s="1435"/>
      <c r="L41" s="1435"/>
      <c r="M41" s="1435"/>
      <c r="N41" s="1435"/>
      <c r="O41" s="715">
        <f t="shared" si="9"/>
        <v>0</v>
      </c>
      <c r="P41" s="556"/>
      <c r="Q41" s="556"/>
      <c r="R41" s="556"/>
      <c r="S41" s="556"/>
      <c r="T41" s="68"/>
      <c r="U41" s="277"/>
      <c r="V41" s="68"/>
      <c r="Y41" s="852"/>
      <c r="Z41" s="852"/>
      <c r="AA41" s="852"/>
      <c r="AB41" s="852"/>
      <c r="AC41" s="852"/>
      <c r="AD41" s="852"/>
      <c r="AE41" s="852"/>
      <c r="AF41" s="852"/>
      <c r="AG41" s="852"/>
      <c r="AH41" s="852"/>
      <c r="AI41" s="852"/>
      <c r="AJ41" s="852"/>
      <c r="AK41" s="852"/>
      <c r="AL41" s="852"/>
      <c r="AM41" s="852"/>
      <c r="AN41" s="852"/>
      <c r="AO41" s="852"/>
      <c r="AP41" s="852"/>
      <c r="AQ41" s="852"/>
      <c r="AR41" s="852"/>
      <c r="AS41" s="852"/>
      <c r="AT41" s="852"/>
      <c r="AU41" s="852"/>
      <c r="AV41" s="852"/>
      <c r="AW41" s="852"/>
      <c r="AX41" s="852"/>
      <c r="AY41" s="852"/>
      <c r="AZ41" s="852"/>
      <c r="BA41" s="852"/>
      <c r="BB41" s="852"/>
      <c r="BC41" s="852"/>
      <c r="BD41" s="852"/>
      <c r="BE41" s="852"/>
      <c r="BF41" s="852"/>
      <c r="BG41" s="852"/>
      <c r="BH41" s="852"/>
      <c r="BI41" s="852"/>
      <c r="BJ41" s="852"/>
      <c r="BK41" s="852"/>
      <c r="BL41" s="852"/>
      <c r="BM41" s="852"/>
      <c r="BN41" s="852"/>
      <c r="BO41" s="852"/>
      <c r="BP41" s="852"/>
      <c r="BQ41" s="852"/>
      <c r="BR41" s="852"/>
      <c r="BS41" s="852"/>
      <c r="BT41" s="852"/>
      <c r="BU41" s="852"/>
      <c r="BV41" s="852"/>
      <c r="BW41" s="852"/>
      <c r="BX41" s="852"/>
      <c r="BY41" s="852"/>
      <c r="BZ41" s="852"/>
      <c r="CA41" s="852"/>
      <c r="CB41" s="852"/>
      <c r="CC41" s="852"/>
      <c r="CD41" s="852"/>
      <c r="CE41" s="852"/>
      <c r="CF41" s="852"/>
      <c r="CG41" s="852"/>
      <c r="CH41" s="852"/>
    </row>
    <row r="42" spans="1:86" ht="16.5" customHeight="1" outlineLevel="1">
      <c r="B42" s="1493" t="s">
        <v>639</v>
      </c>
      <c r="C42" s="1437"/>
      <c r="D42" s="1437"/>
      <c r="E42" s="1438"/>
      <c r="F42" s="1438"/>
      <c r="G42" s="1438"/>
      <c r="H42" s="1438"/>
      <c r="I42" s="1438"/>
      <c r="J42" s="1438"/>
      <c r="K42" s="1438">
        <v>1893.365</v>
      </c>
      <c r="L42" s="1438"/>
      <c r="M42" s="1438"/>
      <c r="N42" s="1438"/>
      <c r="O42" s="715">
        <f t="shared" si="9"/>
        <v>1893.365</v>
      </c>
      <c r="P42" s="556"/>
      <c r="Q42" s="556"/>
      <c r="R42" s="556"/>
      <c r="S42" s="556"/>
      <c r="T42" s="68"/>
      <c r="U42" s="277"/>
      <c r="V42" s="68"/>
      <c r="Y42" s="852"/>
      <c r="Z42" s="852"/>
      <c r="AA42" s="852"/>
      <c r="AB42" s="852"/>
      <c r="AC42" s="852"/>
      <c r="AD42" s="852"/>
      <c r="AE42" s="852"/>
      <c r="AF42" s="852"/>
      <c r="AG42" s="852"/>
      <c r="AH42" s="852"/>
      <c r="AI42" s="852"/>
      <c r="AJ42" s="852"/>
      <c r="AK42" s="852"/>
      <c r="AL42" s="852"/>
      <c r="AM42" s="852"/>
      <c r="AN42" s="852"/>
      <c r="AO42" s="852"/>
      <c r="AP42" s="852"/>
      <c r="AQ42" s="852"/>
      <c r="AR42" s="852"/>
      <c r="AS42" s="852"/>
      <c r="AT42" s="852"/>
      <c r="AU42" s="852"/>
      <c r="AV42" s="852"/>
      <c r="AW42" s="852"/>
      <c r="AX42" s="852"/>
      <c r="AY42" s="852"/>
      <c r="AZ42" s="852"/>
      <c r="BA42" s="852"/>
      <c r="BB42" s="852"/>
      <c r="BC42" s="852"/>
      <c r="BD42" s="852"/>
      <c r="BE42" s="852"/>
      <c r="BF42" s="852"/>
      <c r="BG42" s="852"/>
      <c r="BH42" s="852"/>
      <c r="BI42" s="852"/>
      <c r="BJ42" s="852"/>
      <c r="BK42" s="852"/>
      <c r="BL42" s="852"/>
      <c r="BM42" s="852"/>
      <c r="BN42" s="852"/>
      <c r="BO42" s="852"/>
      <c r="BP42" s="852"/>
      <c r="BQ42" s="852"/>
      <c r="BR42" s="852"/>
      <c r="BS42" s="852"/>
      <c r="BT42" s="852"/>
      <c r="BU42" s="852"/>
      <c r="BV42" s="852"/>
      <c r="BW42" s="852"/>
      <c r="BX42" s="852"/>
      <c r="BY42" s="852"/>
      <c r="BZ42" s="852"/>
      <c r="CA42" s="852"/>
      <c r="CB42" s="852"/>
      <c r="CC42" s="852"/>
      <c r="CD42" s="852"/>
      <c r="CE42" s="852"/>
      <c r="CF42" s="852"/>
      <c r="CG42" s="852"/>
      <c r="CH42" s="852"/>
    </row>
    <row r="43" spans="1:86" ht="16.5" customHeight="1" outlineLevel="1">
      <c r="B43" s="1492" t="s">
        <v>640</v>
      </c>
      <c r="C43" s="1437"/>
      <c r="D43" s="1437">
        <v>1171.5440854901458</v>
      </c>
      <c r="E43" s="1438"/>
      <c r="F43" s="1438">
        <v>3445.6187144691676</v>
      </c>
      <c r="G43" s="1438"/>
      <c r="H43" s="1438"/>
      <c r="I43" s="1438"/>
      <c r="J43" s="1438"/>
      <c r="K43" s="1438"/>
      <c r="L43" s="1438"/>
      <c r="M43" s="1438"/>
      <c r="N43" s="1438">
        <f>1234+1099</f>
        <v>2333</v>
      </c>
      <c r="O43" s="715"/>
      <c r="P43" s="556"/>
      <c r="Q43" s="556"/>
      <c r="R43" s="556"/>
      <c r="S43" s="556"/>
      <c r="T43" s="68"/>
      <c r="U43" s="277"/>
      <c r="V43" s="68"/>
      <c r="Y43" s="852"/>
      <c r="Z43" s="852"/>
      <c r="AA43" s="852"/>
      <c r="AB43" s="852"/>
      <c r="AC43" s="852"/>
      <c r="AD43" s="852"/>
      <c r="AE43" s="852"/>
      <c r="AF43" s="852"/>
      <c r="AG43" s="852"/>
      <c r="AH43" s="852"/>
      <c r="AI43" s="852"/>
      <c r="AJ43" s="852"/>
      <c r="AK43" s="852"/>
      <c r="AL43" s="852"/>
      <c r="AM43" s="852"/>
      <c r="AN43" s="852"/>
      <c r="AO43" s="852"/>
      <c r="AP43" s="852"/>
      <c r="AQ43" s="852"/>
      <c r="AR43" s="852"/>
      <c r="AS43" s="852"/>
      <c r="AT43" s="852"/>
      <c r="AU43" s="852"/>
      <c r="AV43" s="852"/>
      <c r="AW43" s="852"/>
      <c r="AX43" s="852"/>
      <c r="AY43" s="852"/>
      <c r="AZ43" s="852"/>
      <c r="BA43" s="852"/>
      <c r="BB43" s="852"/>
      <c r="BC43" s="852"/>
      <c r="BD43" s="852"/>
      <c r="BE43" s="852"/>
      <c r="BF43" s="852"/>
      <c r="BG43" s="852"/>
      <c r="BH43" s="852"/>
      <c r="BI43" s="852"/>
      <c r="BJ43" s="852"/>
      <c r="BK43" s="852"/>
      <c r="BL43" s="852"/>
      <c r="BM43" s="852"/>
      <c r="BN43" s="852"/>
      <c r="BO43" s="852"/>
      <c r="BP43" s="852"/>
      <c r="BQ43" s="852"/>
      <c r="BR43" s="852"/>
      <c r="BS43" s="852"/>
      <c r="BT43" s="852"/>
      <c r="BU43" s="852"/>
      <c r="BV43" s="852"/>
      <c r="BW43" s="852"/>
      <c r="BX43" s="852"/>
      <c r="BY43" s="852"/>
      <c r="BZ43" s="852"/>
      <c r="CA43" s="852"/>
      <c r="CB43" s="852"/>
      <c r="CC43" s="852"/>
      <c r="CD43" s="852"/>
      <c r="CE43" s="852"/>
      <c r="CF43" s="852"/>
      <c r="CG43" s="852"/>
      <c r="CH43" s="852"/>
    </row>
    <row r="44" spans="1:86" outlineLevel="1">
      <c r="B44" s="719" t="s">
        <v>63</v>
      </c>
      <c r="C44" s="1429">
        <v>22.57</v>
      </c>
      <c r="D44" s="1429">
        <v>10.79</v>
      </c>
      <c r="E44" s="1430">
        <v>10.72</v>
      </c>
      <c r="F44" s="1459">
        <v>13.05</v>
      </c>
      <c r="G44" s="1430">
        <v>9.81</v>
      </c>
      <c r="H44" s="1430">
        <v>36.94</v>
      </c>
      <c r="I44" s="1431">
        <v>38.49</v>
      </c>
      <c r="J44" s="1430">
        <v>5.46</v>
      </c>
      <c r="K44" s="1430">
        <v>6.77</v>
      </c>
      <c r="L44" s="1430">
        <v>7.83</v>
      </c>
      <c r="M44" s="1430">
        <v>7.1</v>
      </c>
      <c r="N44" s="1430">
        <v>44.270000000000437</v>
      </c>
      <c r="O44" s="1432">
        <f t="shared" si="9"/>
        <v>213.80000000000047</v>
      </c>
      <c r="P44" s="556"/>
      <c r="Q44" s="556"/>
      <c r="R44" s="556"/>
      <c r="S44" s="556"/>
      <c r="T44" s="68"/>
      <c r="U44" s="277"/>
      <c r="V44" s="68"/>
      <c r="Y44" s="852"/>
      <c r="Z44" s="852"/>
      <c r="AA44" s="852"/>
      <c r="AB44" s="852"/>
      <c r="AC44" s="852"/>
      <c r="AD44" s="852"/>
      <c r="AE44" s="852"/>
      <c r="AF44" s="852"/>
      <c r="AG44" s="852"/>
      <c r="AH44" s="852"/>
      <c r="AI44" s="852"/>
      <c r="AJ44" s="852"/>
      <c r="AK44" s="852"/>
      <c r="AL44" s="852"/>
      <c r="AM44" s="852"/>
      <c r="AN44" s="852"/>
      <c r="AO44" s="852"/>
      <c r="AP44" s="852"/>
      <c r="AQ44" s="852"/>
      <c r="AR44" s="852"/>
      <c r="AS44" s="852"/>
      <c r="AT44" s="852"/>
      <c r="AU44" s="852"/>
      <c r="AV44" s="852"/>
      <c r="AW44" s="852"/>
      <c r="AX44" s="852"/>
      <c r="AY44" s="852"/>
      <c r="AZ44" s="852"/>
      <c r="BA44" s="852"/>
      <c r="BB44" s="852"/>
      <c r="BC44" s="852"/>
      <c r="BD44" s="852"/>
      <c r="BE44" s="852"/>
      <c r="BF44" s="852"/>
      <c r="BG44" s="852"/>
      <c r="BH44" s="852"/>
      <c r="BI44" s="852"/>
      <c r="BJ44" s="852"/>
      <c r="BK44" s="852"/>
      <c r="BL44" s="852"/>
      <c r="BM44" s="852"/>
      <c r="BN44" s="852"/>
      <c r="BO44" s="852"/>
      <c r="BP44" s="852"/>
      <c r="BQ44" s="852"/>
      <c r="BR44" s="852"/>
      <c r="BS44" s="852"/>
      <c r="BT44" s="852"/>
      <c r="BU44" s="852"/>
      <c r="BV44" s="852"/>
      <c r="BW44" s="852"/>
      <c r="BX44" s="852"/>
      <c r="BY44" s="852"/>
      <c r="BZ44" s="852"/>
      <c r="CA44" s="852"/>
      <c r="CB44" s="852"/>
      <c r="CC44" s="852"/>
      <c r="CD44" s="852"/>
      <c r="CE44" s="852"/>
      <c r="CF44" s="852"/>
      <c r="CG44" s="852"/>
      <c r="CH44" s="852"/>
    </row>
    <row r="45" spans="1:86" outlineLevel="1">
      <c r="B45" s="648" t="s">
        <v>415</v>
      </c>
      <c r="C45" s="1433">
        <f>C44-C46-C47-C48-C49</f>
        <v>22.57</v>
      </c>
      <c r="D45" s="1433">
        <f t="shared" ref="D45:N45" si="11">D44-D46-D47-D48-D49</f>
        <v>10.79</v>
      </c>
      <c r="E45" s="1433">
        <f t="shared" si="11"/>
        <v>10.72</v>
      </c>
      <c r="F45" s="1433">
        <f t="shared" si="11"/>
        <v>4.5303005813807236</v>
      </c>
      <c r="G45" s="1433">
        <f t="shared" si="11"/>
        <v>9.81</v>
      </c>
      <c r="H45" s="1433">
        <f t="shared" si="11"/>
        <v>36.94</v>
      </c>
      <c r="I45" s="1433">
        <f t="shared" si="11"/>
        <v>38.49</v>
      </c>
      <c r="J45" s="1433">
        <f t="shared" si="11"/>
        <v>5.46</v>
      </c>
      <c r="K45" s="1433">
        <f t="shared" si="11"/>
        <v>6.5379999999999994</v>
      </c>
      <c r="L45" s="1433">
        <f t="shared" si="11"/>
        <v>7.83</v>
      </c>
      <c r="M45" s="1433">
        <f t="shared" si="11"/>
        <v>7.1</v>
      </c>
      <c r="N45" s="1433">
        <f t="shared" si="11"/>
        <v>27.445000000000437</v>
      </c>
      <c r="O45" s="715">
        <f t="shared" si="9"/>
        <v>188.22330058138121</v>
      </c>
      <c r="P45" s="556"/>
      <c r="Q45" s="556"/>
      <c r="R45" s="556"/>
      <c r="S45" s="556"/>
      <c r="T45" s="68"/>
      <c r="U45" s="277"/>
      <c r="V45" s="68"/>
      <c r="Y45" s="852"/>
      <c r="Z45" s="852"/>
      <c r="AA45" s="852"/>
      <c r="AB45" s="852"/>
      <c r="AC45" s="852"/>
      <c r="AD45" s="852"/>
      <c r="AE45" s="852"/>
      <c r="AF45" s="852"/>
      <c r="AG45" s="852"/>
      <c r="AH45" s="852"/>
      <c r="AI45" s="852"/>
      <c r="AJ45" s="852"/>
      <c r="AK45" s="852"/>
      <c r="AL45" s="852"/>
      <c r="AM45" s="852"/>
      <c r="AN45" s="852"/>
      <c r="AO45" s="852"/>
      <c r="AP45" s="852"/>
      <c r="AQ45" s="852"/>
      <c r="AR45" s="852"/>
      <c r="AS45" s="852"/>
      <c r="AT45" s="852"/>
      <c r="AU45" s="852"/>
      <c r="AV45" s="852"/>
      <c r="AW45" s="852"/>
      <c r="AX45" s="852"/>
      <c r="AY45" s="852"/>
      <c r="AZ45" s="852"/>
      <c r="BA45" s="852"/>
      <c r="BB45" s="852"/>
      <c r="BC45" s="852"/>
      <c r="BD45" s="852"/>
      <c r="BE45" s="852"/>
      <c r="BF45" s="852"/>
      <c r="BG45" s="852"/>
      <c r="BH45" s="852"/>
      <c r="BI45" s="852"/>
      <c r="BJ45" s="852"/>
      <c r="BK45" s="852"/>
      <c r="BL45" s="852"/>
      <c r="BM45" s="852"/>
      <c r="BN45" s="852"/>
      <c r="BO45" s="852"/>
      <c r="BP45" s="852"/>
      <c r="BQ45" s="852"/>
      <c r="BR45" s="852"/>
      <c r="BS45" s="852"/>
      <c r="BT45" s="852"/>
      <c r="BU45" s="852"/>
      <c r="BV45" s="852"/>
      <c r="BW45" s="852"/>
      <c r="BX45" s="852"/>
      <c r="BY45" s="852"/>
      <c r="BZ45" s="852"/>
      <c r="CA45" s="852"/>
      <c r="CB45" s="852"/>
      <c r="CC45" s="852"/>
      <c r="CD45" s="852"/>
      <c r="CE45" s="852"/>
      <c r="CF45" s="852"/>
      <c r="CG45" s="852"/>
      <c r="CH45" s="852"/>
    </row>
    <row r="46" spans="1:86" outlineLevel="1">
      <c r="B46" s="717" t="s">
        <v>416</v>
      </c>
      <c r="C46" s="1440"/>
      <c r="D46" s="1440"/>
      <c r="E46" s="1441"/>
      <c r="F46" s="1442"/>
      <c r="G46" s="1441"/>
      <c r="H46" s="1435"/>
      <c r="I46" s="1435"/>
      <c r="J46" s="1441"/>
      <c r="K46" s="1441"/>
      <c r="L46" s="1435"/>
      <c r="M46" s="1435"/>
      <c r="N46" s="1441"/>
      <c r="O46" s="715">
        <f t="shared" si="9"/>
        <v>0</v>
      </c>
      <c r="P46" s="556"/>
      <c r="Q46" s="556"/>
      <c r="R46" s="556"/>
      <c r="S46" s="556"/>
      <c r="T46" s="68"/>
      <c r="U46" s="277"/>
      <c r="V46" s="68"/>
      <c r="Y46" s="852"/>
      <c r="Z46" s="852"/>
      <c r="AA46" s="852"/>
      <c r="AB46" s="852"/>
      <c r="AC46" s="852"/>
      <c r="AD46" s="852"/>
      <c r="AE46" s="852"/>
      <c r="AF46" s="852"/>
      <c r="AG46" s="852"/>
      <c r="AH46" s="852"/>
      <c r="AI46" s="852"/>
      <c r="AJ46" s="852"/>
      <c r="AK46" s="852"/>
      <c r="AL46" s="852"/>
      <c r="AM46" s="852"/>
      <c r="AN46" s="852"/>
      <c r="AO46" s="852"/>
      <c r="AP46" s="852"/>
      <c r="AQ46" s="852"/>
      <c r="AR46" s="852"/>
      <c r="AS46" s="852"/>
      <c r="AT46" s="852"/>
      <c r="AU46" s="852"/>
      <c r="AV46" s="852"/>
      <c r="AW46" s="852"/>
      <c r="AX46" s="852"/>
      <c r="AY46" s="852"/>
      <c r="AZ46" s="852"/>
      <c r="BA46" s="852"/>
      <c r="BB46" s="852"/>
      <c r="BC46" s="852"/>
      <c r="BD46" s="852"/>
      <c r="BE46" s="852"/>
      <c r="BF46" s="852"/>
      <c r="BG46" s="852"/>
      <c r="BH46" s="852"/>
      <c r="BI46" s="852"/>
      <c r="BJ46" s="852"/>
      <c r="BK46" s="852"/>
      <c r="BL46" s="852"/>
      <c r="BM46" s="852"/>
      <c r="BN46" s="852"/>
      <c r="BO46" s="852"/>
      <c r="BP46" s="852"/>
      <c r="BQ46" s="852"/>
      <c r="BR46" s="852"/>
      <c r="BS46" s="852"/>
      <c r="BT46" s="852"/>
      <c r="BU46" s="852"/>
      <c r="BV46" s="852"/>
      <c r="BW46" s="852"/>
      <c r="BX46" s="852"/>
      <c r="BY46" s="852"/>
      <c r="BZ46" s="852"/>
      <c r="CA46" s="852"/>
      <c r="CB46" s="852"/>
      <c r="CC46" s="852"/>
      <c r="CD46" s="852"/>
      <c r="CE46" s="852"/>
      <c r="CF46" s="852"/>
      <c r="CG46" s="852"/>
      <c r="CH46" s="852"/>
    </row>
    <row r="47" spans="1:86" outlineLevel="1">
      <c r="A47" s="852"/>
      <c r="B47" s="850" t="s">
        <v>460</v>
      </c>
      <c r="C47" s="1443">
        <v>0</v>
      </c>
      <c r="D47" s="1443">
        <v>0</v>
      </c>
      <c r="E47" s="1443">
        <v>0</v>
      </c>
      <c r="F47" s="1443">
        <v>0</v>
      </c>
      <c r="G47" s="1443">
        <v>0</v>
      </c>
      <c r="H47" s="1443">
        <v>0</v>
      </c>
      <c r="I47" s="1443">
        <v>0</v>
      </c>
      <c r="J47" s="1443">
        <v>0</v>
      </c>
      <c r="K47" s="1443">
        <v>0</v>
      </c>
      <c r="L47" s="1443">
        <v>0</v>
      </c>
      <c r="M47" s="1443">
        <v>0</v>
      </c>
      <c r="N47" s="1443"/>
      <c r="O47" s="715">
        <f t="shared" si="9"/>
        <v>0</v>
      </c>
      <c r="P47" s="556"/>
      <c r="Q47" s="556"/>
      <c r="R47" s="556"/>
      <c r="S47" s="556"/>
      <c r="T47" s="68"/>
      <c r="U47" s="277"/>
      <c r="V47" s="68"/>
      <c r="Y47" s="852"/>
      <c r="Z47" s="852"/>
      <c r="AA47" s="852"/>
      <c r="AB47" s="852"/>
      <c r="AC47" s="852"/>
      <c r="AD47" s="852"/>
      <c r="AE47" s="852"/>
      <c r="AF47" s="852"/>
      <c r="AG47" s="852"/>
      <c r="AH47" s="852"/>
      <c r="AI47" s="852"/>
      <c r="AJ47" s="852"/>
      <c r="AK47" s="852"/>
      <c r="AL47" s="852"/>
      <c r="AM47" s="852"/>
      <c r="AN47" s="852"/>
      <c r="AO47" s="852"/>
      <c r="AP47" s="852"/>
      <c r="AQ47" s="852"/>
      <c r="AR47" s="852"/>
      <c r="AS47" s="852"/>
      <c r="AT47" s="852"/>
      <c r="AU47" s="852"/>
      <c r="AV47" s="852"/>
      <c r="AW47" s="852"/>
      <c r="AX47" s="852"/>
      <c r="AY47" s="852"/>
      <c r="AZ47" s="852"/>
      <c r="BA47" s="852"/>
      <c r="BB47" s="852"/>
      <c r="BC47" s="852"/>
      <c r="BD47" s="852"/>
      <c r="BE47" s="852"/>
      <c r="BF47" s="852"/>
      <c r="BG47" s="852"/>
      <c r="BH47" s="852"/>
      <c r="BI47" s="852"/>
      <c r="BJ47" s="852"/>
      <c r="BK47" s="852"/>
      <c r="BL47" s="852"/>
      <c r="BM47" s="852"/>
      <c r="BN47" s="852"/>
      <c r="BO47" s="852"/>
      <c r="BP47" s="852"/>
      <c r="BQ47" s="852"/>
      <c r="BR47" s="852"/>
      <c r="BS47" s="852"/>
      <c r="BT47" s="852"/>
      <c r="BU47" s="852"/>
      <c r="BV47" s="852"/>
      <c r="BW47" s="852"/>
      <c r="BX47" s="852"/>
      <c r="BY47" s="852"/>
      <c r="BZ47" s="852"/>
      <c r="CA47" s="852"/>
      <c r="CB47" s="852"/>
      <c r="CC47" s="852"/>
      <c r="CD47" s="852"/>
      <c r="CE47" s="852"/>
      <c r="CF47" s="852"/>
      <c r="CG47" s="852"/>
      <c r="CH47" s="852"/>
    </row>
    <row r="48" spans="1:86" outlineLevel="1">
      <c r="A48" s="852"/>
      <c r="B48" s="718" t="s">
        <v>590</v>
      </c>
      <c r="C48" s="1437"/>
      <c r="D48" s="1444"/>
      <c r="E48" s="1438"/>
      <c r="F48" s="1438"/>
      <c r="G48" s="1438"/>
      <c r="H48" s="1438"/>
      <c r="I48" s="1438"/>
      <c r="J48" s="1438"/>
      <c r="K48" s="1543">
        <v>0.23200000000000001</v>
      </c>
      <c r="L48" s="1438"/>
      <c r="M48" s="1438"/>
      <c r="N48" s="1438"/>
      <c r="O48" s="715">
        <f t="shared" si="9"/>
        <v>0.23200000000000001</v>
      </c>
      <c r="P48" s="556"/>
      <c r="Q48" s="556"/>
      <c r="R48" s="556"/>
      <c r="S48" s="556"/>
      <c r="T48" s="68"/>
      <c r="U48" s="277"/>
      <c r="V48" s="68"/>
      <c r="Y48" s="852"/>
      <c r="Z48" s="852"/>
      <c r="AA48" s="852"/>
      <c r="AB48" s="852"/>
      <c r="AC48" s="852"/>
      <c r="AD48" s="852"/>
      <c r="AE48" s="852"/>
      <c r="AF48" s="852"/>
      <c r="AG48" s="852"/>
      <c r="AH48" s="852"/>
      <c r="AI48" s="852"/>
      <c r="AJ48" s="852"/>
      <c r="AK48" s="852"/>
      <c r="AL48" s="852"/>
      <c r="AM48" s="852"/>
      <c r="AN48" s="852"/>
      <c r="AO48" s="852"/>
      <c r="AP48" s="852"/>
      <c r="AQ48" s="852"/>
      <c r="AR48" s="852"/>
      <c r="AS48" s="852"/>
      <c r="AT48" s="852"/>
      <c r="AU48" s="852"/>
      <c r="AV48" s="852"/>
      <c r="AW48" s="852"/>
      <c r="AX48" s="852"/>
      <c r="AY48" s="852"/>
      <c r="AZ48" s="852"/>
      <c r="BA48" s="852"/>
      <c r="BB48" s="852"/>
      <c r="BC48" s="852"/>
      <c r="BD48" s="852"/>
      <c r="BE48" s="852"/>
      <c r="BF48" s="852"/>
      <c r="BG48" s="852"/>
      <c r="BH48" s="852"/>
      <c r="BI48" s="852"/>
      <c r="BJ48" s="852"/>
      <c r="BK48" s="852"/>
      <c r="BL48" s="852"/>
      <c r="BM48" s="852"/>
      <c r="BN48" s="852"/>
      <c r="BO48" s="852"/>
      <c r="BP48" s="852"/>
      <c r="BQ48" s="852"/>
      <c r="BR48" s="852"/>
      <c r="BS48" s="852"/>
      <c r="BT48" s="852"/>
      <c r="BU48" s="852"/>
      <c r="BV48" s="852"/>
      <c r="BW48" s="852"/>
      <c r="BX48" s="852"/>
      <c r="BY48" s="852"/>
      <c r="BZ48" s="852"/>
      <c r="CA48" s="852"/>
      <c r="CB48" s="852"/>
      <c r="CC48" s="852"/>
      <c r="CD48" s="852"/>
      <c r="CE48" s="852"/>
      <c r="CF48" s="852"/>
      <c r="CG48" s="852"/>
      <c r="CH48" s="852"/>
    </row>
    <row r="49" spans="1:86" outlineLevel="1">
      <c r="A49" s="852"/>
      <c r="B49" s="1492" t="s">
        <v>640</v>
      </c>
      <c r="C49" s="1437"/>
      <c r="D49" s="1437"/>
      <c r="E49" s="1438"/>
      <c r="F49" s="1438">
        <v>8.5196994186192772</v>
      </c>
      <c r="G49" s="1438"/>
      <c r="H49" s="1438"/>
      <c r="I49" s="1438"/>
      <c r="J49" s="1438"/>
      <c r="K49" s="1438"/>
      <c r="L49" s="1438"/>
      <c r="M49" s="1438"/>
      <c r="N49" s="1438">
        <f>15.3+1.525</f>
        <v>16.824999999999999</v>
      </c>
      <c r="O49" s="1446"/>
      <c r="P49" s="556"/>
      <c r="Q49" s="556"/>
      <c r="R49" s="556"/>
      <c r="S49" s="556"/>
      <c r="T49" s="68"/>
      <c r="U49" s="277"/>
      <c r="V49" s="68"/>
      <c r="Y49" s="852"/>
      <c r="Z49" s="852"/>
      <c r="AA49" s="852"/>
      <c r="AB49" s="852"/>
      <c r="AC49" s="852"/>
      <c r="AD49" s="852"/>
      <c r="AE49" s="852"/>
      <c r="AF49" s="852"/>
      <c r="AG49" s="852"/>
      <c r="AH49" s="852"/>
      <c r="AI49" s="852"/>
      <c r="AJ49" s="852"/>
      <c r="AK49" s="852"/>
      <c r="AL49" s="852"/>
      <c r="AM49" s="852"/>
      <c r="AN49" s="852"/>
      <c r="AO49" s="852"/>
      <c r="AP49" s="852"/>
      <c r="AQ49" s="852"/>
      <c r="AR49" s="852"/>
      <c r="AS49" s="852"/>
      <c r="AT49" s="852"/>
      <c r="AU49" s="852"/>
      <c r="AV49" s="852"/>
      <c r="AW49" s="852"/>
      <c r="AX49" s="852"/>
      <c r="AY49" s="852"/>
      <c r="AZ49" s="852"/>
      <c r="BA49" s="852"/>
      <c r="BB49" s="852"/>
      <c r="BC49" s="852"/>
      <c r="BD49" s="852"/>
      <c r="BE49" s="852"/>
      <c r="BF49" s="852"/>
      <c r="BG49" s="852"/>
      <c r="BH49" s="852"/>
      <c r="BI49" s="852"/>
      <c r="BJ49" s="852"/>
      <c r="BK49" s="852"/>
      <c r="BL49" s="852"/>
      <c r="BM49" s="852"/>
      <c r="BN49" s="852"/>
      <c r="BO49" s="852"/>
      <c r="BP49" s="852"/>
      <c r="BQ49" s="852"/>
      <c r="BR49" s="852"/>
      <c r="BS49" s="852"/>
      <c r="BT49" s="852"/>
      <c r="BU49" s="852"/>
      <c r="BV49" s="852"/>
      <c r="BW49" s="852"/>
      <c r="BX49" s="852"/>
      <c r="BY49" s="852"/>
      <c r="BZ49" s="852"/>
      <c r="CA49" s="852"/>
      <c r="CB49" s="852"/>
      <c r="CC49" s="852"/>
      <c r="CD49" s="852"/>
      <c r="CE49" s="852"/>
      <c r="CF49" s="852"/>
      <c r="CG49" s="852"/>
      <c r="CH49" s="852"/>
    </row>
    <row r="50" spans="1:86" outlineLevel="1">
      <c r="A50" s="852"/>
      <c r="B50" s="719" t="s">
        <v>64</v>
      </c>
      <c r="C50" s="1447">
        <v>0.1</v>
      </c>
      <c r="D50" s="1429">
        <v>5.26</v>
      </c>
      <c r="E50" s="1439">
        <v>4.76</v>
      </c>
      <c r="F50" s="1448">
        <v>794.35</v>
      </c>
      <c r="G50" s="1439">
        <v>12.83</v>
      </c>
      <c r="H50" s="1439">
        <v>207.04</v>
      </c>
      <c r="I50" s="1449">
        <v>94.05</v>
      </c>
      <c r="J50" s="1439">
        <v>91.77</v>
      </c>
      <c r="K50" s="1439">
        <v>682.03</v>
      </c>
      <c r="L50" s="1430">
        <v>70.88</v>
      </c>
      <c r="M50" s="1439">
        <v>19.78</v>
      </c>
      <c r="N50" s="1439">
        <v>754.27999999999884</v>
      </c>
      <c r="O50" s="1432">
        <f t="shared" ref="O50:O62" si="12">SUM(C50:N50)</f>
        <v>2737.1299999999992</v>
      </c>
      <c r="P50" s="556"/>
      <c r="Q50" s="556"/>
      <c r="R50" s="556"/>
      <c r="S50" s="556"/>
      <c r="T50" s="68"/>
      <c r="U50" s="277"/>
      <c r="V50" s="68"/>
      <c r="Y50" s="852"/>
      <c r="Z50" s="852"/>
      <c r="AA50" s="852"/>
      <c r="AB50" s="852"/>
      <c r="AC50" s="852"/>
      <c r="AD50" s="852"/>
      <c r="AE50" s="852"/>
      <c r="AF50" s="852"/>
      <c r="AG50" s="852"/>
      <c r="AH50" s="852"/>
      <c r="AI50" s="852"/>
      <c r="AJ50" s="852"/>
      <c r="AK50" s="852"/>
      <c r="AL50" s="852"/>
      <c r="AM50" s="852"/>
      <c r="AN50" s="852"/>
      <c r="AO50" s="852"/>
      <c r="AP50" s="852"/>
      <c r="AQ50" s="852"/>
      <c r="AR50" s="852"/>
      <c r="AS50" s="852"/>
      <c r="AT50" s="852"/>
      <c r="AU50" s="852"/>
      <c r="AV50" s="852"/>
      <c r="AW50" s="852"/>
      <c r="AX50" s="852"/>
      <c r="AY50" s="852"/>
      <c r="AZ50" s="852"/>
      <c r="BA50" s="852"/>
      <c r="BB50" s="852"/>
      <c r="BC50" s="852"/>
      <c r="BD50" s="852"/>
      <c r="BE50" s="852"/>
      <c r="BF50" s="852"/>
      <c r="BG50" s="852"/>
      <c r="BH50" s="852"/>
      <c r="BI50" s="852"/>
      <c r="BJ50" s="852"/>
      <c r="BK50" s="852"/>
      <c r="BL50" s="852"/>
      <c r="BM50" s="852"/>
      <c r="BN50" s="852"/>
      <c r="BO50" s="852"/>
      <c r="BP50" s="852"/>
      <c r="BQ50" s="852"/>
      <c r="BR50" s="852"/>
      <c r="BS50" s="852"/>
      <c r="BT50" s="852"/>
      <c r="BU50" s="852"/>
      <c r="BV50" s="852"/>
      <c r="BW50" s="852"/>
      <c r="BX50" s="852"/>
      <c r="BY50" s="852"/>
      <c r="BZ50" s="852"/>
      <c r="CA50" s="852"/>
      <c r="CB50" s="852"/>
      <c r="CC50" s="852"/>
      <c r="CD50" s="852"/>
      <c r="CE50" s="852"/>
      <c r="CF50" s="852"/>
      <c r="CG50" s="852"/>
      <c r="CH50" s="852"/>
    </row>
    <row r="51" spans="1:86" outlineLevel="1">
      <c r="A51" s="852"/>
      <c r="B51" s="648" t="s">
        <v>415</v>
      </c>
      <c r="C51" s="1450">
        <f t="shared" ref="C51:M51" si="13">C50-C52-C53</f>
        <v>0.1</v>
      </c>
      <c r="D51" s="1450">
        <f>D50-D52-D53-D54</f>
        <v>5.26</v>
      </c>
      <c r="E51" s="1450">
        <f t="shared" ref="E51:F51" si="14">E50-E52-E53-E54</f>
        <v>4.76</v>
      </c>
      <c r="F51" s="1450">
        <f t="shared" si="14"/>
        <v>6.1683667400245668</v>
      </c>
      <c r="G51" s="1451">
        <f t="shared" si="13"/>
        <v>12.83</v>
      </c>
      <c r="H51" s="1450">
        <f t="shared" si="13"/>
        <v>207.04</v>
      </c>
      <c r="I51" s="1450">
        <f t="shared" si="13"/>
        <v>94.05</v>
      </c>
      <c r="J51" s="1451">
        <f t="shared" si="13"/>
        <v>91.77</v>
      </c>
      <c r="K51" s="1450">
        <f t="shared" si="13"/>
        <v>79.841999999999985</v>
      </c>
      <c r="L51" s="1450">
        <f t="shared" si="13"/>
        <v>70.88</v>
      </c>
      <c r="M51" s="1450">
        <f t="shared" si="13"/>
        <v>19.78</v>
      </c>
      <c r="N51" s="1450">
        <f>N50-N52-N53-N54</f>
        <v>47.41399999999885</v>
      </c>
      <c r="O51" s="715">
        <f t="shared" si="12"/>
        <v>639.89436674002332</v>
      </c>
      <c r="P51" s="556"/>
      <c r="Q51" s="556"/>
      <c r="R51" s="556"/>
      <c r="S51" s="556"/>
      <c r="T51" s="68"/>
      <c r="U51" s="277"/>
      <c r="V51" s="68"/>
      <c r="Y51" s="852"/>
      <c r="Z51" s="852"/>
      <c r="AA51" s="852"/>
      <c r="AB51" s="852"/>
      <c r="AC51" s="852"/>
      <c r="AD51" s="852"/>
      <c r="AE51" s="1372"/>
      <c r="AF51" s="852"/>
      <c r="AG51" s="852"/>
      <c r="AH51" s="852"/>
      <c r="AI51" s="852"/>
      <c r="AJ51" s="852"/>
      <c r="AK51" s="852"/>
      <c r="AL51" s="852"/>
      <c r="AM51" s="852"/>
      <c r="AN51" s="852"/>
      <c r="AO51" s="852"/>
      <c r="AP51" s="852"/>
      <c r="AQ51" s="852"/>
      <c r="AR51" s="852"/>
      <c r="AS51" s="852"/>
      <c r="AT51" s="852"/>
      <c r="AU51" s="852"/>
      <c r="AV51" s="852"/>
      <c r="AW51" s="852"/>
      <c r="AX51" s="852"/>
      <c r="AY51" s="852"/>
      <c r="AZ51" s="852"/>
      <c r="BA51" s="852"/>
      <c r="BB51" s="852"/>
      <c r="BC51" s="852"/>
      <c r="BD51" s="852"/>
      <c r="BE51" s="852"/>
      <c r="BF51" s="852"/>
      <c r="BG51" s="852"/>
      <c r="BH51" s="852"/>
      <c r="BI51" s="852"/>
      <c r="BJ51" s="852"/>
      <c r="BK51" s="852"/>
      <c r="BL51" s="852"/>
      <c r="BM51" s="852"/>
      <c r="BN51" s="852"/>
      <c r="BO51" s="852"/>
      <c r="BP51" s="852"/>
      <c r="BQ51" s="852"/>
      <c r="BR51" s="852"/>
      <c r="BS51" s="852"/>
      <c r="BT51" s="852"/>
      <c r="BU51" s="852"/>
      <c r="BV51" s="852"/>
      <c r="BW51" s="852"/>
      <c r="BX51" s="852"/>
      <c r="BY51" s="852"/>
      <c r="BZ51" s="852"/>
      <c r="CA51" s="852"/>
      <c r="CB51" s="852"/>
      <c r="CC51" s="852"/>
      <c r="CD51" s="852"/>
      <c r="CE51" s="852"/>
      <c r="CF51" s="852"/>
      <c r="CG51" s="852"/>
      <c r="CH51" s="852"/>
    </row>
    <row r="52" spans="1:86" outlineLevel="1">
      <c r="A52" s="852"/>
      <c r="B52" s="717" t="s">
        <v>416</v>
      </c>
      <c r="C52" s="1434"/>
      <c r="D52" s="1434"/>
      <c r="E52" s="1435"/>
      <c r="F52" s="1436"/>
      <c r="G52" s="1435"/>
      <c r="H52" s="1435"/>
      <c r="I52" s="1435"/>
      <c r="J52" s="1435"/>
      <c r="K52" s="1435"/>
      <c r="L52" s="1435"/>
      <c r="M52" s="1435"/>
      <c r="N52" s="1435"/>
      <c r="O52" s="715">
        <f t="shared" si="12"/>
        <v>0</v>
      </c>
      <c r="P52" s="556"/>
      <c r="Q52" s="556"/>
      <c r="R52" s="556"/>
      <c r="S52" s="556"/>
      <c r="T52" s="68"/>
      <c r="U52" s="277"/>
      <c r="V52" s="68"/>
      <c r="Y52" s="852"/>
      <c r="Z52" s="852"/>
      <c r="AA52" s="852"/>
      <c r="AB52" s="1372"/>
      <c r="AC52" s="1372"/>
      <c r="AD52" s="852"/>
      <c r="AE52" s="1372"/>
      <c r="AF52" s="852"/>
      <c r="AG52" s="852"/>
      <c r="AH52" s="852"/>
      <c r="AI52" s="852"/>
      <c r="AJ52" s="852"/>
      <c r="AK52" s="852"/>
      <c r="AL52" s="852"/>
      <c r="AM52" s="852"/>
      <c r="AN52" s="852"/>
      <c r="AO52" s="852"/>
      <c r="AP52" s="852"/>
      <c r="AQ52" s="852"/>
      <c r="AR52" s="852"/>
      <c r="AS52" s="852"/>
      <c r="AT52" s="852"/>
      <c r="AU52" s="852"/>
      <c r="AV52" s="852"/>
      <c r="AW52" s="852"/>
      <c r="AX52" s="852"/>
      <c r="AY52" s="852"/>
      <c r="AZ52" s="852"/>
      <c r="BA52" s="852"/>
      <c r="BB52" s="852"/>
      <c r="BC52" s="852"/>
      <c r="BD52" s="852"/>
      <c r="BE52" s="852"/>
      <c r="BF52" s="852"/>
      <c r="BG52" s="852"/>
      <c r="BH52" s="852"/>
      <c r="BI52" s="852"/>
      <c r="BJ52" s="852"/>
      <c r="BK52" s="852"/>
      <c r="BL52" s="852"/>
      <c r="BM52" s="852"/>
      <c r="BN52" s="852"/>
      <c r="BO52" s="852"/>
      <c r="BP52" s="852"/>
      <c r="BQ52" s="852"/>
      <c r="BR52" s="852"/>
      <c r="BS52" s="852"/>
      <c r="BT52" s="852"/>
      <c r="BU52" s="852"/>
      <c r="BV52" s="852"/>
      <c r="BW52" s="852"/>
      <c r="BX52" s="852"/>
      <c r="BY52" s="852"/>
      <c r="BZ52" s="852"/>
      <c r="CA52" s="852"/>
      <c r="CB52" s="852"/>
      <c r="CC52" s="852"/>
      <c r="CD52" s="852"/>
      <c r="CE52" s="852"/>
      <c r="CF52" s="852"/>
      <c r="CG52" s="852"/>
      <c r="CH52" s="852"/>
    </row>
    <row r="53" spans="1:86" outlineLevel="1">
      <c r="A53" s="852"/>
      <c r="B53" s="718" t="s">
        <v>590</v>
      </c>
      <c r="C53" s="1437"/>
      <c r="D53" s="1437"/>
      <c r="E53" s="1438"/>
      <c r="F53" s="1438"/>
      <c r="G53" s="1438"/>
      <c r="H53" s="1438"/>
      <c r="I53" s="1438"/>
      <c r="J53" s="1438"/>
      <c r="K53" s="1438">
        <v>602.18799999999999</v>
      </c>
      <c r="L53" s="1438"/>
      <c r="M53" s="1438"/>
      <c r="N53" s="1438"/>
      <c r="O53" s="715">
        <f t="shared" si="12"/>
        <v>602.18799999999999</v>
      </c>
      <c r="P53" s="556"/>
      <c r="Q53" s="556"/>
      <c r="R53" s="556"/>
      <c r="S53" s="556"/>
      <c r="T53" s="68"/>
      <c r="U53" s="277"/>
      <c r="V53" s="68"/>
      <c r="Y53" s="852"/>
      <c r="Z53" s="852"/>
      <c r="AA53" s="852"/>
      <c r="AB53" s="1372"/>
      <c r="AC53" s="1373"/>
      <c r="AD53" s="852"/>
      <c r="AE53" s="1372"/>
      <c r="AF53" s="852"/>
      <c r="AG53" s="852"/>
      <c r="AH53" s="852"/>
      <c r="AI53" s="852"/>
      <c r="AJ53" s="852"/>
      <c r="AK53" s="852"/>
      <c r="AL53" s="852"/>
      <c r="AM53" s="852"/>
      <c r="AN53" s="852"/>
      <c r="AO53" s="852"/>
      <c r="AP53" s="852"/>
      <c r="AQ53" s="852"/>
      <c r="AR53" s="852"/>
      <c r="AS53" s="852"/>
      <c r="AT53" s="852"/>
      <c r="AU53" s="852"/>
      <c r="AV53" s="852"/>
      <c r="AW53" s="852"/>
      <c r="AX53" s="852"/>
      <c r="AY53" s="852"/>
      <c r="AZ53" s="852"/>
      <c r="BA53" s="852"/>
      <c r="BB53" s="852"/>
      <c r="BC53" s="852"/>
      <c r="BD53" s="852"/>
      <c r="BE53" s="852"/>
      <c r="BF53" s="852"/>
      <c r="BG53" s="852"/>
      <c r="BH53" s="852"/>
      <c r="BI53" s="852"/>
      <c r="BJ53" s="852"/>
      <c r="BK53" s="852"/>
      <c r="BL53" s="852"/>
      <c r="BM53" s="852"/>
      <c r="BN53" s="852"/>
      <c r="BO53" s="852"/>
      <c r="BP53" s="852"/>
      <c r="BQ53" s="852"/>
      <c r="BR53" s="852"/>
      <c r="BS53" s="852"/>
      <c r="BT53" s="852"/>
      <c r="BU53" s="852"/>
      <c r="BV53" s="852"/>
      <c r="BW53" s="852"/>
      <c r="BX53" s="852"/>
      <c r="BY53" s="852"/>
      <c r="BZ53" s="852"/>
      <c r="CA53" s="852"/>
      <c r="CB53" s="852"/>
      <c r="CC53" s="852"/>
      <c r="CD53" s="852"/>
      <c r="CE53" s="852"/>
      <c r="CF53" s="852"/>
      <c r="CG53" s="852"/>
      <c r="CH53" s="852"/>
    </row>
    <row r="54" spans="1:86" outlineLevel="1">
      <c r="A54" s="852"/>
      <c r="B54" s="1492" t="s">
        <v>640</v>
      </c>
      <c r="C54" s="1437"/>
      <c r="D54" s="1437"/>
      <c r="E54" s="1438"/>
      <c r="F54" s="1438">
        <v>788.18163325997546</v>
      </c>
      <c r="G54" s="1438"/>
      <c r="H54" s="1438"/>
      <c r="I54" s="1438"/>
      <c r="J54" s="1438"/>
      <c r="K54" s="1438"/>
      <c r="L54" s="1438"/>
      <c r="M54" s="1438"/>
      <c r="N54" s="1438">
        <f>251.866+455</f>
        <v>706.86599999999999</v>
      </c>
      <c r="O54" s="715">
        <f t="shared" si="12"/>
        <v>1495.0476332599756</v>
      </c>
      <c r="P54" s="556"/>
      <c r="Q54" s="556"/>
      <c r="R54" s="556"/>
      <c r="S54" s="556"/>
      <c r="T54" s="68"/>
      <c r="U54" s="277"/>
      <c r="V54" s="68"/>
      <c r="Y54" s="852"/>
      <c r="Z54" s="852"/>
      <c r="AA54" s="852"/>
      <c r="AB54" s="1372"/>
      <c r="AC54" s="1373"/>
      <c r="AD54" s="852"/>
      <c r="AE54" s="1372"/>
      <c r="AF54" s="852"/>
      <c r="AG54" s="852"/>
      <c r="AH54" s="852"/>
      <c r="AI54" s="852"/>
      <c r="AJ54" s="852"/>
      <c r="AK54" s="852"/>
      <c r="AL54" s="852"/>
      <c r="AM54" s="852"/>
      <c r="AN54" s="852"/>
      <c r="AO54" s="852"/>
      <c r="AP54" s="852"/>
      <c r="AQ54" s="852"/>
      <c r="AR54" s="852"/>
      <c r="AS54" s="852"/>
      <c r="AT54" s="852"/>
      <c r="AU54" s="852"/>
      <c r="AV54" s="852"/>
      <c r="AW54" s="852"/>
      <c r="AX54" s="852"/>
      <c r="AY54" s="852"/>
      <c r="AZ54" s="852"/>
      <c r="BA54" s="852"/>
      <c r="BB54" s="852"/>
      <c r="BC54" s="852"/>
      <c r="BD54" s="852"/>
      <c r="BE54" s="852"/>
      <c r="BF54" s="852"/>
      <c r="BG54" s="852"/>
      <c r="BH54" s="852"/>
      <c r="BI54" s="852"/>
      <c r="BJ54" s="852"/>
      <c r="BK54" s="852"/>
      <c r="BL54" s="852"/>
      <c r="BM54" s="852"/>
      <c r="BN54" s="852"/>
      <c r="BO54" s="852"/>
      <c r="BP54" s="852"/>
      <c r="BQ54" s="852"/>
      <c r="BR54" s="852"/>
      <c r="BS54" s="852"/>
      <c r="BT54" s="852"/>
      <c r="BU54" s="852"/>
      <c r="BV54" s="852"/>
      <c r="BW54" s="852"/>
      <c r="BX54" s="852"/>
      <c r="BY54" s="852"/>
      <c r="BZ54" s="852"/>
      <c r="CA54" s="852"/>
      <c r="CB54" s="852"/>
      <c r="CC54" s="852"/>
      <c r="CD54" s="852"/>
      <c r="CE54" s="852"/>
      <c r="CF54" s="852"/>
      <c r="CG54" s="852"/>
      <c r="CH54" s="852"/>
    </row>
    <row r="55" spans="1:86" outlineLevel="1">
      <c r="A55" s="852"/>
      <c r="B55" s="719" t="s">
        <v>65</v>
      </c>
      <c r="C55" s="1452">
        <v>0</v>
      </c>
      <c r="D55" s="1453">
        <v>0</v>
      </c>
      <c r="E55" s="1454">
        <v>0</v>
      </c>
      <c r="F55" s="1455">
        <v>0</v>
      </c>
      <c r="G55" s="1455">
        <v>0</v>
      </c>
      <c r="H55" s="1454">
        <v>0</v>
      </c>
      <c r="I55" s="1454">
        <v>0</v>
      </c>
      <c r="J55" s="1454">
        <v>0</v>
      </c>
      <c r="K55" s="1454">
        <v>0</v>
      </c>
      <c r="L55" s="1454">
        <v>0</v>
      </c>
      <c r="M55" s="1454">
        <v>0</v>
      </c>
      <c r="N55" s="1454">
        <v>0</v>
      </c>
      <c r="O55" s="409">
        <f t="shared" si="12"/>
        <v>0</v>
      </c>
      <c r="P55" s="556"/>
      <c r="Q55" s="556"/>
      <c r="R55" s="556"/>
      <c r="S55" s="556"/>
      <c r="T55" s="68"/>
      <c r="U55" s="277"/>
      <c r="V55" s="68"/>
      <c r="Y55" s="852"/>
      <c r="Z55" s="852"/>
      <c r="AA55" s="852"/>
      <c r="AB55" s="1372"/>
      <c r="AC55" s="1372"/>
      <c r="AD55" s="852"/>
      <c r="AE55" s="1372"/>
      <c r="AF55" s="852"/>
      <c r="AG55" s="852"/>
      <c r="AH55" s="852"/>
      <c r="AI55" s="852"/>
      <c r="AJ55" s="852"/>
      <c r="AK55" s="852"/>
      <c r="AL55" s="852"/>
      <c r="AM55" s="852"/>
      <c r="AN55" s="852"/>
      <c r="AO55" s="852"/>
      <c r="AP55" s="852"/>
      <c r="AQ55" s="852"/>
      <c r="AR55" s="852"/>
      <c r="AS55" s="852"/>
      <c r="AT55" s="852"/>
      <c r="AU55" s="852"/>
      <c r="AV55" s="852"/>
      <c r="AW55" s="852"/>
      <c r="AX55" s="852"/>
      <c r="AY55" s="852"/>
      <c r="AZ55" s="852"/>
      <c r="BA55" s="852"/>
      <c r="BB55" s="852"/>
      <c r="BC55" s="852"/>
      <c r="BD55" s="852"/>
      <c r="BE55" s="852"/>
      <c r="BF55" s="852"/>
      <c r="BG55" s="852"/>
      <c r="BH55" s="852"/>
      <c r="BI55" s="852"/>
      <c r="BJ55" s="852"/>
      <c r="BK55" s="852"/>
      <c r="BL55" s="852"/>
      <c r="BM55" s="852"/>
      <c r="BN55" s="852"/>
      <c r="BO55" s="852"/>
      <c r="BP55" s="852"/>
      <c r="BQ55" s="852"/>
      <c r="BR55" s="852"/>
      <c r="BS55" s="852"/>
      <c r="BT55" s="852"/>
      <c r="BU55" s="852"/>
      <c r="BV55" s="852"/>
      <c r="BW55" s="852"/>
      <c r="BX55" s="852"/>
      <c r="BY55" s="852"/>
      <c r="BZ55" s="852"/>
      <c r="CA55" s="852"/>
      <c r="CB55" s="852"/>
      <c r="CC55" s="852"/>
      <c r="CD55" s="852"/>
      <c r="CE55" s="852"/>
      <c r="CF55" s="852"/>
      <c r="CG55" s="852"/>
      <c r="CH55" s="852"/>
    </row>
    <row r="56" spans="1:86" outlineLevel="1">
      <c r="A56" s="852"/>
      <c r="B56" s="648" t="s">
        <v>415</v>
      </c>
      <c r="C56" s="1433">
        <f>C55</f>
        <v>0</v>
      </c>
      <c r="D56" s="1433">
        <f t="shared" ref="D56:E56" si="15">D55</f>
        <v>0</v>
      </c>
      <c r="E56" s="1433">
        <f t="shared" si="15"/>
        <v>0</v>
      </c>
      <c r="F56" s="1456">
        <v>0</v>
      </c>
      <c r="G56" s="1445">
        <v>0</v>
      </c>
      <c r="H56" s="1445">
        <v>0</v>
      </c>
      <c r="I56" s="1445">
        <v>0</v>
      </c>
      <c r="J56" s="1445">
        <v>0</v>
      </c>
      <c r="K56" s="1445">
        <v>0</v>
      </c>
      <c r="L56" s="1445">
        <v>0</v>
      </c>
      <c r="M56" s="1445">
        <v>0</v>
      </c>
      <c r="N56" s="1445">
        <v>0</v>
      </c>
      <c r="O56" s="715">
        <f t="shared" si="12"/>
        <v>0</v>
      </c>
      <c r="P56" s="556"/>
      <c r="Q56" s="556"/>
      <c r="R56" s="556"/>
      <c r="S56" s="556"/>
      <c r="T56" s="68"/>
      <c r="U56" s="277"/>
      <c r="V56" s="68"/>
      <c r="Y56" s="852"/>
      <c r="Z56" s="852"/>
      <c r="AA56" s="852"/>
      <c r="AB56" s="1372"/>
      <c r="AC56" s="1372"/>
      <c r="AD56" s="852"/>
      <c r="AE56" s="1372"/>
      <c r="AF56" s="852"/>
      <c r="AG56" s="852"/>
      <c r="AH56" s="852"/>
      <c r="AI56" s="852"/>
      <c r="AJ56" s="852"/>
      <c r="AK56" s="852"/>
      <c r="AL56" s="852"/>
      <c r="AM56" s="852"/>
      <c r="AN56" s="852"/>
      <c r="AO56" s="852"/>
      <c r="AP56" s="852"/>
      <c r="AQ56" s="852"/>
      <c r="AR56" s="852"/>
      <c r="AS56" s="852"/>
      <c r="AT56" s="852"/>
      <c r="AU56" s="852"/>
      <c r="AV56" s="852"/>
      <c r="AW56" s="852"/>
      <c r="AX56" s="852"/>
      <c r="AY56" s="852"/>
      <c r="AZ56" s="852"/>
      <c r="BA56" s="852"/>
      <c r="BB56" s="852"/>
      <c r="BC56" s="852"/>
      <c r="BD56" s="852"/>
      <c r="BE56" s="852"/>
      <c r="BF56" s="852"/>
      <c r="BG56" s="852"/>
      <c r="BH56" s="852"/>
      <c r="BI56" s="852"/>
      <c r="BJ56" s="852"/>
      <c r="BK56" s="852"/>
      <c r="BL56" s="852"/>
      <c r="BM56" s="852"/>
      <c r="BN56" s="852"/>
      <c r="BO56" s="852"/>
      <c r="BP56" s="852"/>
      <c r="BQ56" s="852"/>
      <c r="BR56" s="852"/>
      <c r="BS56" s="852"/>
      <c r="BT56" s="852"/>
      <c r="BU56" s="852"/>
      <c r="BV56" s="852"/>
      <c r="BW56" s="852"/>
      <c r="BX56" s="852"/>
      <c r="BY56" s="852"/>
      <c r="BZ56" s="852"/>
      <c r="CA56" s="852"/>
      <c r="CB56" s="852"/>
      <c r="CC56" s="852"/>
      <c r="CD56" s="852"/>
      <c r="CE56" s="852"/>
      <c r="CF56" s="852"/>
      <c r="CG56" s="852"/>
      <c r="CH56" s="852"/>
    </row>
    <row r="57" spans="1:86" outlineLevel="1">
      <c r="A57" s="852"/>
      <c r="B57" s="717" t="s">
        <v>416</v>
      </c>
      <c r="C57" s="1434"/>
      <c r="D57" s="1434"/>
      <c r="E57" s="1435"/>
      <c r="F57" s="1436"/>
      <c r="G57" s="1435"/>
      <c r="H57" s="1435"/>
      <c r="I57" s="1435"/>
      <c r="J57" s="1435"/>
      <c r="K57" s="1435"/>
      <c r="L57" s="1435"/>
      <c r="M57" s="1435"/>
      <c r="N57" s="1435"/>
      <c r="O57" s="715">
        <f t="shared" si="12"/>
        <v>0</v>
      </c>
      <c r="P57" s="556"/>
      <c r="Q57" s="556"/>
      <c r="R57" s="556"/>
      <c r="S57" s="556"/>
      <c r="T57" s="68"/>
      <c r="U57" s="277"/>
      <c r="V57" s="68"/>
      <c r="Y57" s="852"/>
      <c r="Z57" s="852"/>
      <c r="AA57" s="852"/>
      <c r="AB57" s="852"/>
      <c r="AC57" s="852"/>
      <c r="AD57" s="852"/>
      <c r="AE57" s="1372"/>
      <c r="AF57" s="852"/>
      <c r="AG57" s="852"/>
      <c r="AH57" s="852"/>
      <c r="AI57" s="852"/>
      <c r="AJ57" s="852"/>
      <c r="AK57" s="852"/>
      <c r="AL57" s="852"/>
      <c r="AM57" s="852"/>
      <c r="AN57" s="852"/>
      <c r="AO57" s="852"/>
      <c r="AP57" s="852"/>
      <c r="AQ57" s="852"/>
      <c r="AR57" s="852"/>
      <c r="AS57" s="852"/>
      <c r="AT57" s="852"/>
      <c r="AU57" s="852"/>
      <c r="AV57" s="852"/>
      <c r="AW57" s="852"/>
      <c r="AX57" s="852"/>
      <c r="AY57" s="852"/>
      <c r="AZ57" s="852"/>
      <c r="BA57" s="852"/>
      <c r="BB57" s="852"/>
      <c r="BC57" s="852"/>
      <c r="BD57" s="852"/>
      <c r="BE57" s="852"/>
      <c r="BF57" s="852"/>
      <c r="BG57" s="852"/>
      <c r="BH57" s="852"/>
      <c r="BI57" s="852"/>
      <c r="BJ57" s="852"/>
      <c r="BK57" s="852"/>
      <c r="BL57" s="852"/>
      <c r="BM57" s="852"/>
      <c r="BN57" s="852"/>
      <c r="BO57" s="852"/>
      <c r="BP57" s="852"/>
      <c r="BQ57" s="852"/>
      <c r="BR57" s="852"/>
      <c r="BS57" s="852"/>
      <c r="BT57" s="852"/>
      <c r="BU57" s="852"/>
      <c r="BV57" s="852"/>
      <c r="BW57" s="852"/>
      <c r="BX57" s="852"/>
      <c r="BY57" s="852"/>
      <c r="BZ57" s="852"/>
      <c r="CA57" s="852"/>
      <c r="CB57" s="852"/>
      <c r="CC57" s="852"/>
      <c r="CD57" s="852"/>
      <c r="CE57" s="852"/>
      <c r="CF57" s="852"/>
      <c r="CG57" s="852"/>
      <c r="CH57" s="852"/>
    </row>
    <row r="58" spans="1:86" outlineLevel="1">
      <c r="A58" s="852"/>
      <c r="B58" s="718" t="s">
        <v>590</v>
      </c>
      <c r="C58" s="1437"/>
      <c r="D58" s="1437">
        <v>0</v>
      </c>
      <c r="E58" s="1438"/>
      <c r="F58" s="1438"/>
      <c r="G58" s="1438"/>
      <c r="H58" s="1438"/>
      <c r="I58" s="1438">
        <v>0</v>
      </c>
      <c r="J58" s="1438">
        <v>0</v>
      </c>
      <c r="K58" s="1438"/>
      <c r="L58" s="1438"/>
      <c r="M58" s="1438"/>
      <c r="N58" s="1438"/>
      <c r="O58" s="715">
        <f t="shared" si="12"/>
        <v>0</v>
      </c>
      <c r="P58" s="556"/>
      <c r="Q58" s="556"/>
      <c r="R58" s="556"/>
      <c r="S58" s="556"/>
      <c r="T58" s="68"/>
      <c r="U58" s="277"/>
      <c r="V58" s="68"/>
      <c r="Y58" s="852"/>
      <c r="Z58" s="852"/>
      <c r="AA58" s="852"/>
      <c r="AB58" s="852"/>
      <c r="AC58" s="852"/>
      <c r="AD58" s="852"/>
      <c r="AE58" s="852"/>
      <c r="AF58" s="852"/>
      <c r="AG58" s="852"/>
      <c r="AH58" s="852"/>
      <c r="AI58" s="852"/>
      <c r="AJ58" s="852"/>
      <c r="AK58" s="852"/>
      <c r="AL58" s="852"/>
      <c r="AM58" s="852"/>
      <c r="AN58" s="852"/>
      <c r="AO58" s="852"/>
      <c r="AP58" s="852"/>
      <c r="AQ58" s="852"/>
      <c r="AR58" s="852"/>
      <c r="AS58" s="852"/>
      <c r="AT58" s="852"/>
      <c r="AU58" s="852"/>
      <c r="AV58" s="852"/>
      <c r="AW58" s="852"/>
      <c r="AX58" s="852"/>
      <c r="AY58" s="852"/>
      <c r="AZ58" s="852"/>
      <c r="BA58" s="852"/>
      <c r="BB58" s="852"/>
      <c r="BC58" s="852"/>
      <c r="BD58" s="852"/>
      <c r="BE58" s="852"/>
      <c r="BF58" s="852"/>
      <c r="BG58" s="852"/>
      <c r="BH58" s="852"/>
      <c r="BI58" s="852"/>
      <c r="BJ58" s="852"/>
      <c r="BK58" s="852"/>
      <c r="BL58" s="852"/>
      <c r="BM58" s="852"/>
      <c r="BN58" s="852"/>
      <c r="BO58" s="852"/>
      <c r="BP58" s="852"/>
      <c r="BQ58" s="852"/>
      <c r="BR58" s="852"/>
      <c r="BS58" s="852"/>
      <c r="BT58" s="852"/>
      <c r="BU58" s="852"/>
      <c r="BV58" s="852"/>
      <c r="BW58" s="852"/>
      <c r="BX58" s="852"/>
      <c r="BY58" s="852"/>
      <c r="BZ58" s="852"/>
      <c r="CA58" s="852"/>
      <c r="CB58" s="852"/>
      <c r="CC58" s="852"/>
      <c r="CD58" s="852"/>
      <c r="CE58" s="852"/>
      <c r="CF58" s="852"/>
      <c r="CG58" s="852"/>
      <c r="CH58" s="852"/>
    </row>
    <row r="59" spans="1:86" outlineLevel="1">
      <c r="A59" s="852"/>
      <c r="B59" s="719" t="s">
        <v>66</v>
      </c>
      <c r="C59" s="1457">
        <v>39822</v>
      </c>
      <c r="D59" s="1458">
        <v>43151</v>
      </c>
      <c r="E59" s="1430">
        <v>41101</v>
      </c>
      <c r="F59" s="1459">
        <v>35931</v>
      </c>
      <c r="G59" s="1430">
        <v>44380</v>
      </c>
      <c r="H59" s="1430">
        <v>43881</v>
      </c>
      <c r="I59" s="1431">
        <v>49421</v>
      </c>
      <c r="J59" s="1430">
        <v>86806</v>
      </c>
      <c r="K59" s="1430">
        <v>80149</v>
      </c>
      <c r="L59" s="1457">
        <v>77291</v>
      </c>
      <c r="M59" s="1430">
        <v>85356</v>
      </c>
      <c r="N59" s="1430">
        <v>81044</v>
      </c>
      <c r="O59" s="1432">
        <f t="shared" si="12"/>
        <v>708333</v>
      </c>
      <c r="P59" s="556"/>
      <c r="Q59" s="556"/>
      <c r="R59" s="556"/>
      <c r="S59" s="556"/>
      <c r="T59" s="68"/>
      <c r="U59" s="277"/>
      <c r="V59" s="68"/>
      <c r="X59" s="4"/>
      <c r="Y59" s="1374"/>
      <c r="Z59" s="1375"/>
      <c r="AA59" s="1375"/>
      <c r="AB59" s="852"/>
      <c r="AC59" s="852"/>
      <c r="AD59" s="852"/>
      <c r="AE59" s="852"/>
      <c r="AF59" s="852"/>
      <c r="AG59" s="852"/>
      <c r="AH59" s="852"/>
      <c r="AI59" s="852"/>
      <c r="AJ59" s="852"/>
      <c r="AK59" s="852"/>
      <c r="AL59" s="852"/>
      <c r="AM59" s="852"/>
      <c r="AN59" s="852"/>
      <c r="AO59" s="852"/>
      <c r="AP59" s="852"/>
      <c r="AQ59" s="852"/>
      <c r="AR59" s="852"/>
      <c r="AS59" s="852"/>
      <c r="AT59" s="852"/>
      <c r="AU59" s="852"/>
      <c r="AV59" s="852"/>
      <c r="AW59" s="852"/>
      <c r="AX59" s="852"/>
      <c r="AY59" s="852"/>
      <c r="AZ59" s="852"/>
      <c r="BA59" s="852"/>
      <c r="BB59" s="852"/>
      <c r="BC59" s="852"/>
      <c r="BD59" s="852"/>
      <c r="BE59" s="852"/>
      <c r="BF59" s="852"/>
      <c r="BG59" s="852"/>
      <c r="BH59" s="852"/>
      <c r="BI59" s="852"/>
      <c r="BJ59" s="852"/>
      <c r="BK59" s="852"/>
      <c r="BL59" s="852"/>
      <c r="BM59" s="852"/>
      <c r="BN59" s="852"/>
      <c r="BO59" s="852"/>
      <c r="BP59" s="852"/>
      <c r="BQ59" s="852"/>
      <c r="BR59" s="852"/>
      <c r="BS59" s="852"/>
      <c r="BT59" s="852"/>
      <c r="BU59" s="852"/>
      <c r="BV59" s="852"/>
      <c r="BW59" s="852"/>
      <c r="BX59" s="852"/>
      <c r="BY59" s="852"/>
      <c r="BZ59" s="852"/>
      <c r="CA59" s="852"/>
      <c r="CB59" s="852"/>
      <c r="CC59" s="852"/>
      <c r="CD59" s="852"/>
      <c r="CE59" s="852"/>
      <c r="CF59" s="852"/>
      <c r="CG59" s="852"/>
      <c r="CH59" s="852"/>
    </row>
    <row r="60" spans="1:86" outlineLevel="1">
      <c r="A60" s="852"/>
      <c r="B60" s="648" t="s">
        <v>415</v>
      </c>
      <c r="C60" s="1433">
        <f t="shared" ref="C60:N60" si="16">C59-C61-C62+C63-C64</f>
        <v>39822</v>
      </c>
      <c r="D60" s="1433">
        <f t="shared" si="16"/>
        <v>43151</v>
      </c>
      <c r="E60" s="1433">
        <f t="shared" si="16"/>
        <v>41101</v>
      </c>
      <c r="F60" s="1433">
        <f t="shared" si="16"/>
        <v>35931</v>
      </c>
      <c r="G60" s="1433">
        <f t="shared" si="16"/>
        <v>44380</v>
      </c>
      <c r="H60" s="1433">
        <f t="shared" si="16"/>
        <v>43881</v>
      </c>
      <c r="I60" s="1433">
        <f t="shared" si="16"/>
        <v>40378.089999999997</v>
      </c>
      <c r="J60" s="1433">
        <f t="shared" si="16"/>
        <v>39183</v>
      </c>
      <c r="K60" s="1433">
        <f t="shared" si="16"/>
        <v>25904.706999999995</v>
      </c>
      <c r="L60" s="1433">
        <f t="shared" si="16"/>
        <v>33237</v>
      </c>
      <c r="M60" s="1433">
        <f t="shared" si="16"/>
        <v>38057</v>
      </c>
      <c r="N60" s="1433">
        <f t="shared" si="16"/>
        <v>36728</v>
      </c>
      <c r="O60" s="715">
        <f t="shared" si="12"/>
        <v>461753.79699999996</v>
      </c>
      <c r="P60" s="556"/>
      <c r="Q60" s="556"/>
      <c r="R60" s="556"/>
      <c r="S60" s="556"/>
      <c r="T60" s="68"/>
      <c r="U60" s="277"/>
      <c r="V60" s="68"/>
      <c r="X60" s="4"/>
      <c r="Y60" s="1376"/>
      <c r="Z60" s="1375"/>
      <c r="AA60" s="1375"/>
      <c r="AB60" s="852"/>
      <c r="AC60" s="852"/>
      <c r="AD60" s="852"/>
      <c r="AE60" s="852"/>
      <c r="AF60" s="852"/>
      <c r="AG60" s="852"/>
      <c r="AH60" s="852"/>
      <c r="AI60" s="852"/>
      <c r="AJ60" s="852"/>
      <c r="AK60" s="852"/>
      <c r="AL60" s="852"/>
      <c r="AM60" s="852"/>
      <c r="AN60" s="852"/>
      <c r="AO60" s="852"/>
      <c r="AP60" s="852"/>
      <c r="AQ60" s="852"/>
      <c r="AR60" s="852"/>
      <c r="AS60" s="852"/>
      <c r="AT60" s="852"/>
      <c r="AU60" s="852"/>
      <c r="AV60" s="852"/>
      <c r="AW60" s="852"/>
      <c r="AX60" s="852"/>
      <c r="AY60" s="852"/>
      <c r="AZ60" s="852"/>
      <c r="BA60" s="852"/>
      <c r="BB60" s="852"/>
      <c r="BC60" s="852"/>
      <c r="BD60" s="852"/>
      <c r="BE60" s="852"/>
      <c r="BF60" s="852"/>
      <c r="BG60" s="852"/>
      <c r="BH60" s="852"/>
      <c r="BI60" s="852"/>
      <c r="BJ60" s="852"/>
      <c r="BK60" s="852"/>
      <c r="BL60" s="852"/>
      <c r="BM60" s="852"/>
      <c r="BN60" s="852"/>
      <c r="BO60" s="852"/>
      <c r="BP60" s="852"/>
      <c r="BQ60" s="852"/>
      <c r="BR60" s="852"/>
      <c r="BS60" s="852"/>
      <c r="BT60" s="852"/>
      <c r="BU60" s="852"/>
      <c r="BV60" s="852"/>
      <c r="BW60" s="852"/>
      <c r="BX60" s="852"/>
      <c r="BY60" s="852"/>
      <c r="BZ60" s="852"/>
      <c r="CA60" s="852"/>
      <c r="CB60" s="852"/>
      <c r="CC60" s="852"/>
      <c r="CD60" s="852"/>
      <c r="CE60" s="852"/>
      <c r="CF60" s="852"/>
      <c r="CG60" s="852"/>
      <c r="CH60" s="852"/>
    </row>
    <row r="61" spans="1:86" outlineLevel="1">
      <c r="A61" s="852"/>
      <c r="B61" s="717" t="s">
        <v>416</v>
      </c>
      <c r="C61" s="1434"/>
      <c r="D61" s="1434"/>
      <c r="E61" s="1435"/>
      <c r="F61" s="1436"/>
      <c r="G61" s="1435"/>
      <c r="H61" s="1435"/>
      <c r="I61" s="1435"/>
      <c r="J61" s="1435"/>
      <c r="K61" s="1435"/>
      <c r="L61" s="1435"/>
      <c r="M61" s="1435"/>
      <c r="N61" s="1435"/>
      <c r="O61" s="715">
        <f t="shared" si="12"/>
        <v>0</v>
      </c>
      <c r="P61" s="556"/>
      <c r="Q61" s="556"/>
      <c r="R61" s="556"/>
      <c r="S61" s="556"/>
      <c r="T61" s="68"/>
      <c r="U61" s="277"/>
      <c r="V61" s="68"/>
      <c r="X61" s="4"/>
      <c r="Y61" s="1374"/>
      <c r="Z61" s="1375"/>
      <c r="AA61" s="1375"/>
      <c r="AB61" s="852"/>
      <c r="AC61" s="852"/>
      <c r="AD61" s="852"/>
      <c r="AE61" s="852"/>
      <c r="AF61" s="852"/>
      <c r="AG61" s="852"/>
      <c r="AH61" s="852"/>
      <c r="AI61" s="852"/>
      <c r="AJ61" s="852"/>
      <c r="AK61" s="852"/>
      <c r="AL61" s="852"/>
      <c r="AM61" s="852"/>
      <c r="AN61" s="852"/>
      <c r="AO61" s="852"/>
      <c r="AP61" s="852"/>
      <c r="AQ61" s="852"/>
      <c r="AR61" s="852"/>
      <c r="AS61" s="852"/>
      <c r="AT61" s="852"/>
      <c r="AU61" s="852"/>
      <c r="AV61" s="852"/>
      <c r="AW61" s="852"/>
      <c r="AX61" s="852"/>
      <c r="AY61" s="852"/>
      <c r="AZ61" s="852"/>
      <c r="BA61" s="852"/>
      <c r="BB61" s="852"/>
      <c r="BC61" s="852"/>
      <c r="BD61" s="852"/>
      <c r="BE61" s="852"/>
      <c r="BF61" s="852"/>
      <c r="BG61" s="852"/>
      <c r="BH61" s="852"/>
      <c r="BI61" s="852"/>
      <c r="BJ61" s="852"/>
      <c r="BK61" s="852"/>
      <c r="BL61" s="852"/>
      <c r="BM61" s="852"/>
      <c r="BN61" s="852"/>
      <c r="BO61" s="852"/>
      <c r="BP61" s="852"/>
      <c r="BQ61" s="852"/>
      <c r="BR61" s="852"/>
      <c r="BS61" s="852"/>
      <c r="BT61" s="852"/>
      <c r="BU61" s="852"/>
      <c r="BV61" s="852"/>
      <c r="BW61" s="852"/>
      <c r="BX61" s="852"/>
      <c r="BY61" s="852"/>
      <c r="BZ61" s="852"/>
      <c r="CA61" s="852"/>
      <c r="CB61" s="852"/>
      <c r="CC61" s="852"/>
      <c r="CD61" s="852"/>
      <c r="CE61" s="852"/>
      <c r="CF61" s="852"/>
      <c r="CG61" s="852"/>
      <c r="CH61" s="852"/>
    </row>
    <row r="62" spans="1:86" outlineLevel="1">
      <c r="A62" s="852"/>
      <c r="B62" s="718" t="s">
        <v>590</v>
      </c>
      <c r="C62" s="1437"/>
      <c r="D62" s="1437"/>
      <c r="E62" s="1438"/>
      <c r="F62" s="1438"/>
      <c r="G62" s="1438"/>
      <c r="H62" s="1438"/>
      <c r="I62" s="1438"/>
      <c r="J62" s="1438"/>
      <c r="K62" s="1438">
        <v>6172.2929999999997</v>
      </c>
      <c r="L62" s="1438"/>
      <c r="M62" s="1438"/>
      <c r="N62" s="1438"/>
      <c r="O62" s="715">
        <f t="shared" si="12"/>
        <v>6172.2929999999997</v>
      </c>
      <c r="P62" s="556"/>
      <c r="Q62" s="556"/>
      <c r="R62" s="556"/>
      <c r="S62" s="556"/>
      <c r="T62" s="68"/>
      <c r="U62" s="277"/>
      <c r="V62" s="68"/>
      <c r="X62" s="4"/>
      <c r="Y62" s="1376"/>
      <c r="Z62" s="1375"/>
      <c r="AA62" s="1375"/>
      <c r="AB62" s="852"/>
      <c r="AC62" s="852"/>
      <c r="AD62" s="852"/>
      <c r="AE62" s="852"/>
      <c r="AF62" s="852"/>
      <c r="AG62" s="852"/>
      <c r="AH62" s="852"/>
      <c r="AI62" s="852"/>
      <c r="AJ62" s="852"/>
      <c r="AK62" s="852"/>
      <c r="AL62" s="852"/>
      <c r="AM62" s="852"/>
      <c r="AN62" s="852"/>
      <c r="AO62" s="852"/>
      <c r="AP62" s="852"/>
      <c r="AQ62" s="852"/>
      <c r="AR62" s="852"/>
      <c r="AS62" s="852"/>
      <c r="AT62" s="852"/>
      <c r="AU62" s="852"/>
      <c r="AV62" s="852"/>
      <c r="AW62" s="852"/>
      <c r="AX62" s="852"/>
      <c r="AY62" s="852"/>
      <c r="AZ62" s="852"/>
      <c r="BA62" s="852"/>
      <c r="BB62" s="852"/>
      <c r="BC62" s="852"/>
      <c r="BD62" s="852"/>
      <c r="BE62" s="852"/>
      <c r="BF62" s="852"/>
      <c r="BG62" s="852"/>
      <c r="BH62" s="852"/>
      <c r="BI62" s="852"/>
      <c r="BJ62" s="852"/>
      <c r="BK62" s="852"/>
      <c r="BL62" s="852"/>
      <c r="BM62" s="852"/>
      <c r="BN62" s="852"/>
      <c r="BO62" s="852"/>
      <c r="BP62" s="852"/>
      <c r="BQ62" s="852"/>
      <c r="BR62" s="852"/>
      <c r="BS62" s="852"/>
      <c r="BT62" s="852"/>
      <c r="BU62" s="852"/>
      <c r="BV62" s="852"/>
      <c r="BW62" s="852"/>
      <c r="BX62" s="852"/>
      <c r="BY62" s="852"/>
      <c r="BZ62" s="852"/>
      <c r="CA62" s="852"/>
      <c r="CB62" s="852"/>
      <c r="CC62" s="852"/>
      <c r="CD62" s="852"/>
      <c r="CE62" s="852"/>
      <c r="CF62" s="852"/>
      <c r="CG62" s="852"/>
      <c r="CH62" s="852"/>
    </row>
    <row r="63" spans="1:86" outlineLevel="1">
      <c r="A63" s="852"/>
      <c r="B63" s="851" t="s">
        <v>462</v>
      </c>
      <c r="C63" s="1460"/>
      <c r="D63" s="1460"/>
      <c r="E63" s="1460"/>
      <c r="F63" s="1460"/>
      <c r="G63" s="1460"/>
      <c r="H63" s="1460"/>
      <c r="I63" s="1460"/>
      <c r="J63" s="1460"/>
      <c r="K63" s="1460"/>
      <c r="L63" s="1460"/>
      <c r="M63" s="1460"/>
      <c r="N63" s="1460"/>
      <c r="O63" s="715"/>
      <c r="P63" s="556"/>
      <c r="Q63" s="556"/>
      <c r="R63" s="556"/>
      <c r="S63" s="556"/>
      <c r="T63" s="1266"/>
      <c r="U63" s="1267"/>
      <c r="V63" s="68"/>
      <c r="X63" s="4"/>
      <c r="Y63" s="1375"/>
      <c r="Z63" s="1377"/>
      <c r="AA63" s="1378"/>
      <c r="AB63" s="852"/>
      <c r="AC63" s="852"/>
      <c r="AD63" s="852"/>
      <c r="AE63" s="852"/>
      <c r="AF63" s="852"/>
      <c r="AG63" s="852"/>
      <c r="AH63" s="852"/>
      <c r="AI63" s="852"/>
      <c r="AJ63" s="852"/>
      <c r="AK63" s="852"/>
      <c r="AL63" s="852"/>
      <c r="AM63" s="852"/>
      <c r="AN63" s="852"/>
      <c r="AO63" s="852"/>
      <c r="AP63" s="852"/>
      <c r="AQ63" s="852"/>
      <c r="AR63" s="852"/>
      <c r="AS63" s="852"/>
      <c r="AT63" s="852"/>
      <c r="AU63" s="852"/>
      <c r="AV63" s="852"/>
      <c r="AW63" s="852"/>
      <c r="AX63" s="852"/>
      <c r="AY63" s="852"/>
      <c r="AZ63" s="852"/>
      <c r="BA63" s="852"/>
      <c r="BB63" s="852"/>
      <c r="BC63" s="852"/>
      <c r="BD63" s="852"/>
      <c r="BE63" s="852"/>
      <c r="BF63" s="852"/>
      <c r="BG63" s="852"/>
      <c r="BH63" s="852"/>
      <c r="BI63" s="852"/>
      <c r="BJ63" s="852"/>
      <c r="BK63" s="852"/>
      <c r="BL63" s="852"/>
      <c r="BM63" s="852"/>
      <c r="BN63" s="852"/>
      <c r="BO63" s="852"/>
      <c r="BP63" s="852"/>
      <c r="BQ63" s="852"/>
      <c r="BR63" s="852"/>
      <c r="BS63" s="852"/>
      <c r="BT63" s="852"/>
      <c r="BU63" s="852"/>
      <c r="BV63" s="852"/>
      <c r="BW63" s="852"/>
      <c r="BX63" s="852"/>
      <c r="BY63" s="852"/>
      <c r="BZ63" s="852"/>
      <c r="CA63" s="852"/>
      <c r="CB63" s="852"/>
      <c r="CC63" s="852"/>
      <c r="CD63" s="852"/>
      <c r="CE63" s="852"/>
      <c r="CF63" s="852"/>
      <c r="CG63" s="852"/>
      <c r="CH63" s="852"/>
    </row>
    <row r="64" spans="1:86" outlineLevel="1">
      <c r="A64" s="852"/>
      <c r="B64" s="851" t="s">
        <v>474</v>
      </c>
      <c r="C64" s="1461"/>
      <c r="D64" s="1461"/>
      <c r="E64" s="1461"/>
      <c r="F64" s="1461"/>
      <c r="G64" s="1461"/>
      <c r="H64" s="1461"/>
      <c r="I64" s="1462">
        <v>9042.91</v>
      </c>
      <c r="J64" s="1461">
        <v>47623</v>
      </c>
      <c r="K64" s="1461">
        <v>48072</v>
      </c>
      <c r="L64" s="1461">
        <v>44054</v>
      </c>
      <c r="M64" s="1461">
        <v>47299</v>
      </c>
      <c r="N64" s="1461">
        <v>44316</v>
      </c>
      <c r="O64" s="715">
        <f t="shared" ref="O64:O76" si="17">SUM(C64:N64)</f>
        <v>240406.91</v>
      </c>
      <c r="P64" s="556"/>
      <c r="Q64" s="556"/>
      <c r="R64" s="556"/>
      <c r="S64" s="556"/>
      <c r="T64" s="1266"/>
      <c r="U64" s="1267"/>
      <c r="V64" s="68"/>
      <c r="X64" s="4"/>
      <c r="Y64" s="1379"/>
      <c r="Z64" s="1377"/>
      <c r="AA64" s="1378"/>
      <c r="AB64" s="852"/>
      <c r="AC64" s="852"/>
      <c r="AD64" s="852"/>
      <c r="AE64" s="852"/>
      <c r="AF64" s="852"/>
      <c r="AG64" s="852"/>
      <c r="AH64" s="852"/>
      <c r="AI64" s="852"/>
      <c r="AJ64" s="852"/>
      <c r="AK64" s="852"/>
      <c r="AL64" s="852"/>
      <c r="AM64" s="852"/>
      <c r="AN64" s="852"/>
      <c r="AO64" s="852"/>
      <c r="AP64" s="852"/>
      <c r="AQ64" s="852"/>
      <c r="AR64" s="852"/>
      <c r="AS64" s="852"/>
      <c r="AT64" s="852"/>
      <c r="AU64" s="852"/>
      <c r="AV64" s="852"/>
      <c r="AW64" s="852"/>
      <c r="AX64" s="852"/>
      <c r="AY64" s="852"/>
      <c r="AZ64" s="852"/>
      <c r="BA64" s="852"/>
      <c r="BB64" s="852"/>
      <c r="BC64" s="852"/>
      <c r="BD64" s="852"/>
      <c r="BE64" s="852"/>
      <c r="BF64" s="852"/>
      <c r="BG64" s="852"/>
      <c r="BH64" s="852"/>
      <c r="BI64" s="852"/>
      <c r="BJ64" s="852"/>
      <c r="BK64" s="852"/>
      <c r="BL64" s="852"/>
      <c r="BM64" s="852"/>
      <c r="BN64" s="852"/>
      <c r="BO64" s="852"/>
      <c r="BP64" s="852"/>
      <c r="BQ64" s="852"/>
      <c r="BR64" s="852"/>
      <c r="BS64" s="852"/>
      <c r="BT64" s="852"/>
      <c r="BU64" s="852"/>
      <c r="BV64" s="852"/>
      <c r="BW64" s="852"/>
      <c r="BX64" s="852"/>
      <c r="BY64" s="852"/>
      <c r="BZ64" s="852"/>
      <c r="CA64" s="852"/>
      <c r="CB64" s="852"/>
      <c r="CC64" s="852"/>
      <c r="CD64" s="852"/>
      <c r="CE64" s="852"/>
      <c r="CF64" s="852"/>
      <c r="CG64" s="852"/>
      <c r="CH64" s="852"/>
    </row>
    <row r="65" spans="1:86" ht="15.75" outlineLevel="1">
      <c r="A65" s="852"/>
      <c r="B65" s="719" t="s">
        <v>67</v>
      </c>
      <c r="C65" s="1457">
        <v>619040</v>
      </c>
      <c r="D65" s="1457">
        <v>573510</v>
      </c>
      <c r="E65" s="1457">
        <v>636390</v>
      </c>
      <c r="F65" s="1457">
        <v>631011.61</v>
      </c>
      <c r="G65" s="1457">
        <v>679660</v>
      </c>
      <c r="H65" s="1457">
        <v>669810</v>
      </c>
      <c r="I65" s="1457">
        <v>680730</v>
      </c>
      <c r="J65" s="1463">
        <v>682230</v>
      </c>
      <c r="K65" s="1463">
        <v>609280</v>
      </c>
      <c r="L65" s="1463">
        <v>650260</v>
      </c>
      <c r="M65" s="1463">
        <v>579200.82999999996</v>
      </c>
      <c r="N65" s="1463">
        <v>620071</v>
      </c>
      <c r="O65" s="1432">
        <f t="shared" si="17"/>
        <v>7631193.4399999995</v>
      </c>
      <c r="P65" s="556"/>
      <c r="Q65" s="556"/>
      <c r="R65" s="1265"/>
      <c r="S65" s="1268"/>
      <c r="T65" s="71"/>
      <c r="U65" s="279"/>
      <c r="V65" s="72"/>
      <c r="W65" s="74"/>
      <c r="X65" s="74"/>
      <c r="Y65" s="1353"/>
      <c r="Z65" s="1377"/>
      <c r="AA65" s="1378"/>
      <c r="AB65" s="852"/>
      <c r="AC65" s="852"/>
      <c r="AD65" s="852"/>
      <c r="AE65" s="852"/>
      <c r="AF65" s="852"/>
      <c r="AG65" s="852"/>
      <c r="AH65" s="852"/>
      <c r="AI65" s="852"/>
      <c r="AJ65" s="852"/>
      <c r="AK65" s="852"/>
      <c r="AL65" s="852"/>
      <c r="AM65" s="852"/>
      <c r="AN65" s="852"/>
      <c r="AO65" s="852"/>
      <c r="AP65" s="852"/>
      <c r="AQ65" s="852"/>
      <c r="AR65" s="852"/>
      <c r="AS65" s="852"/>
      <c r="AT65" s="852"/>
      <c r="AU65" s="852"/>
      <c r="AV65" s="852"/>
      <c r="AW65" s="852"/>
      <c r="AX65" s="852"/>
      <c r="AY65" s="852"/>
      <c r="AZ65" s="852"/>
      <c r="BA65" s="852"/>
      <c r="BB65" s="852"/>
      <c r="BC65" s="852"/>
      <c r="BD65" s="852"/>
      <c r="BE65" s="852"/>
      <c r="BF65" s="852"/>
      <c r="BG65" s="852"/>
      <c r="BH65" s="852"/>
      <c r="BI65" s="852"/>
      <c r="BJ65" s="852"/>
      <c r="BK65" s="852"/>
      <c r="BL65" s="852"/>
      <c r="BM65" s="852"/>
      <c r="BN65" s="852"/>
      <c r="BO65" s="852"/>
      <c r="BP65" s="852"/>
      <c r="BQ65" s="852"/>
      <c r="BR65" s="852"/>
      <c r="BS65" s="852"/>
      <c r="BT65" s="852"/>
      <c r="BU65" s="852"/>
      <c r="BV65" s="852"/>
      <c r="BW65" s="852"/>
      <c r="BX65" s="852"/>
      <c r="BY65" s="852"/>
      <c r="BZ65" s="852"/>
      <c r="CA65" s="852"/>
      <c r="CB65" s="852"/>
      <c r="CC65" s="852"/>
      <c r="CD65" s="852"/>
      <c r="CE65" s="852"/>
      <c r="CF65" s="852"/>
      <c r="CG65" s="852"/>
      <c r="CH65" s="852"/>
    </row>
    <row r="66" spans="1:86" ht="15.75" outlineLevel="1">
      <c r="A66" s="852"/>
      <c r="B66" s="648" t="s">
        <v>426</v>
      </c>
      <c r="C66" s="1433">
        <f>IFERROR(C65-C69-C67-C68-C70-C71,"")</f>
        <v>597503</v>
      </c>
      <c r="D66" s="1433">
        <f t="shared" ref="D66:N66" si="18">IFERROR(D65-D69-D67-D68-D70-D71,"")</f>
        <v>530513.45833333337</v>
      </c>
      <c r="E66" s="1433">
        <f t="shared" si="18"/>
        <v>614853</v>
      </c>
      <c r="F66" s="1433">
        <f t="shared" si="18"/>
        <v>504341.73812732525</v>
      </c>
      <c r="G66" s="1433">
        <f t="shared" si="18"/>
        <v>658123</v>
      </c>
      <c r="H66" s="1433">
        <f t="shared" si="18"/>
        <v>648968</v>
      </c>
      <c r="I66" s="1433">
        <f t="shared" si="18"/>
        <v>659193</v>
      </c>
      <c r="J66" s="1433">
        <f t="shared" si="18"/>
        <v>660693</v>
      </c>
      <c r="K66" s="1433">
        <f t="shared" si="18"/>
        <v>534108</v>
      </c>
      <c r="L66" s="1433">
        <f t="shared" si="18"/>
        <v>628723</v>
      </c>
      <c r="M66" s="1433">
        <f t="shared" si="18"/>
        <v>558358.82999999996</v>
      </c>
      <c r="N66" s="1433">
        <f t="shared" si="18"/>
        <v>506332</v>
      </c>
      <c r="O66" s="715">
        <f t="shared" si="17"/>
        <v>7101710.0264606588</v>
      </c>
      <c r="P66" s="556"/>
      <c r="Q66" s="556"/>
      <c r="R66" s="556"/>
      <c r="S66" s="556"/>
      <c r="T66" s="676"/>
      <c r="U66" s="279"/>
      <c r="V66" s="72"/>
      <c r="W66" s="74"/>
      <c r="X66" s="74"/>
      <c r="Y66" s="1353"/>
      <c r="Z66" s="1380"/>
      <c r="AA66" s="1375"/>
      <c r="AB66" s="852"/>
      <c r="AC66" s="852"/>
      <c r="AD66" s="852"/>
      <c r="AE66" s="852"/>
      <c r="AF66" s="852"/>
      <c r="AG66" s="852"/>
      <c r="AH66" s="852"/>
      <c r="AI66" s="852"/>
      <c r="AJ66" s="852"/>
      <c r="AK66" s="852"/>
      <c r="AL66" s="852"/>
      <c r="AM66" s="852"/>
      <c r="AN66" s="852"/>
      <c r="AO66" s="852"/>
      <c r="AP66" s="852"/>
      <c r="AQ66" s="852"/>
      <c r="AR66" s="852"/>
      <c r="AS66" s="852"/>
      <c r="AT66" s="852"/>
      <c r="AU66" s="852"/>
      <c r="AV66" s="852"/>
      <c r="AW66" s="852"/>
      <c r="AX66" s="852"/>
      <c r="AY66" s="852"/>
      <c r="AZ66" s="852"/>
      <c r="BA66" s="852"/>
      <c r="BB66" s="852"/>
      <c r="BC66" s="852"/>
      <c r="BD66" s="852"/>
      <c r="BE66" s="852"/>
      <c r="BF66" s="852"/>
      <c r="BG66" s="852"/>
      <c r="BH66" s="852"/>
      <c r="BI66" s="852"/>
      <c r="BJ66" s="852"/>
      <c r="BK66" s="852"/>
      <c r="BL66" s="852"/>
      <c r="BM66" s="852"/>
      <c r="BN66" s="852"/>
      <c r="BO66" s="852"/>
      <c r="BP66" s="852"/>
      <c r="BQ66" s="852"/>
      <c r="BR66" s="852"/>
      <c r="BS66" s="852"/>
      <c r="BT66" s="852"/>
      <c r="BU66" s="852"/>
      <c r="BV66" s="852"/>
      <c r="BW66" s="852"/>
      <c r="BX66" s="852"/>
      <c r="BY66" s="852"/>
      <c r="BZ66" s="852"/>
      <c r="CA66" s="852"/>
      <c r="CB66" s="852"/>
      <c r="CC66" s="852"/>
      <c r="CD66" s="852"/>
      <c r="CE66" s="852"/>
      <c r="CF66" s="852"/>
      <c r="CG66" s="852"/>
      <c r="CH66" s="852"/>
    </row>
    <row r="67" spans="1:86" s="681" customFormat="1" ht="15.75" outlineLevel="1">
      <c r="B67" s="725" t="s">
        <v>425</v>
      </c>
      <c r="C67" s="1464"/>
      <c r="D67" s="1464"/>
      <c r="E67" s="1464"/>
      <c r="F67" s="1464"/>
      <c r="G67" s="1465"/>
      <c r="H67" s="1465"/>
      <c r="I67" s="1465"/>
      <c r="J67" s="1465"/>
      <c r="K67" s="1465"/>
      <c r="L67" s="1465"/>
      <c r="M67" s="1465"/>
      <c r="N67" s="1465"/>
      <c r="O67" s="1466">
        <f t="shared" si="17"/>
        <v>0</v>
      </c>
      <c r="P67" s="556"/>
      <c r="Q67" s="556"/>
      <c r="R67" s="556"/>
      <c r="S67" s="556"/>
      <c r="T67" s="677"/>
      <c r="U67" s="678"/>
      <c r="V67" s="679"/>
      <c r="W67" s="680"/>
      <c r="X67" s="680"/>
      <c r="Y67" s="1353"/>
      <c r="Z67" s="1380"/>
      <c r="AA67" s="1375"/>
      <c r="AB67" s="852"/>
      <c r="AC67" s="852"/>
      <c r="AD67" s="852"/>
      <c r="AE67" s="852"/>
      <c r="AF67" s="852"/>
      <c r="AG67" s="852"/>
      <c r="AH67" s="852"/>
      <c r="AI67" s="852"/>
      <c r="AJ67" s="852"/>
      <c r="AK67" s="852"/>
      <c r="AL67" s="852"/>
      <c r="AM67" s="852"/>
      <c r="AN67" s="852"/>
      <c r="AO67" s="852"/>
      <c r="AP67" s="852"/>
      <c r="AQ67" s="852"/>
      <c r="AR67" s="852"/>
      <c r="AS67" s="852"/>
      <c r="AT67" s="852"/>
      <c r="AU67" s="852"/>
      <c r="AV67" s="852"/>
      <c r="AW67" s="852"/>
      <c r="AX67" s="852"/>
      <c r="AY67" s="852"/>
      <c r="AZ67" s="852"/>
      <c r="BA67" s="852"/>
      <c r="BB67" s="852"/>
      <c r="BC67" s="852"/>
      <c r="BD67" s="852"/>
      <c r="BE67" s="852"/>
      <c r="BF67" s="852"/>
      <c r="BG67" s="852"/>
      <c r="BH67" s="852"/>
      <c r="BI67" s="852"/>
      <c r="BJ67" s="852"/>
      <c r="BK67" s="852"/>
      <c r="BL67" s="852"/>
      <c r="BM67" s="852"/>
      <c r="BN67" s="852"/>
      <c r="BO67" s="852"/>
      <c r="BP67" s="852"/>
      <c r="BQ67" s="852"/>
      <c r="BR67" s="852"/>
      <c r="BS67" s="852"/>
      <c r="BT67" s="852"/>
      <c r="BU67" s="852"/>
      <c r="BV67" s="852"/>
      <c r="BW67" s="852"/>
      <c r="BX67" s="852"/>
      <c r="BY67" s="852"/>
      <c r="BZ67" s="852"/>
      <c r="CA67" s="852"/>
      <c r="CB67" s="852"/>
      <c r="CC67" s="852"/>
      <c r="CD67" s="852"/>
      <c r="CE67" s="852"/>
      <c r="CF67" s="852"/>
      <c r="CG67" s="852"/>
      <c r="CH67" s="852"/>
    </row>
    <row r="68" spans="1:86" ht="15.75" outlineLevel="1">
      <c r="A68" s="852"/>
      <c r="B68" s="717" t="s">
        <v>416</v>
      </c>
      <c r="C68" s="1434"/>
      <c r="D68" s="1434"/>
      <c r="E68" s="1435"/>
      <c r="F68" s="1436"/>
      <c r="G68" s="1435"/>
      <c r="H68" s="1435"/>
      <c r="I68" s="1435"/>
      <c r="J68" s="1435"/>
      <c r="K68" s="1435"/>
      <c r="L68" s="1435"/>
      <c r="M68" s="1435"/>
      <c r="N68" s="1435"/>
      <c r="O68" s="715">
        <f t="shared" si="17"/>
        <v>0</v>
      </c>
      <c r="P68" s="556"/>
      <c r="Q68" s="556"/>
      <c r="R68" s="556"/>
      <c r="S68" s="556"/>
      <c r="T68" s="1269"/>
      <c r="U68" s="279"/>
      <c r="V68" s="72"/>
      <c r="W68" s="74"/>
      <c r="X68" s="74"/>
      <c r="Y68" s="1496"/>
      <c r="Z68" s="1380"/>
      <c r="AA68" s="1375"/>
      <c r="AB68" s="852"/>
      <c r="AC68" s="852"/>
      <c r="AD68" s="852"/>
      <c r="AE68" s="852"/>
      <c r="AF68" s="852"/>
      <c r="AG68" s="852"/>
      <c r="AH68" s="852"/>
      <c r="AI68" s="852"/>
      <c r="AJ68" s="852"/>
      <c r="AK68" s="852"/>
      <c r="AL68" s="852"/>
      <c r="AM68" s="852"/>
      <c r="AN68" s="852"/>
      <c r="AO68" s="852"/>
      <c r="AP68" s="852"/>
      <c r="AQ68" s="852"/>
      <c r="AR68" s="852"/>
      <c r="AS68" s="852"/>
      <c r="AT68" s="852"/>
      <c r="AU68" s="852"/>
      <c r="AV68" s="852"/>
      <c r="AW68" s="852"/>
      <c r="AX68" s="852"/>
      <c r="AY68" s="852"/>
      <c r="AZ68" s="852"/>
      <c r="BA68" s="852"/>
      <c r="BB68" s="852"/>
      <c r="BC68" s="852"/>
      <c r="BD68" s="852"/>
      <c r="BE68" s="852"/>
      <c r="BF68" s="852"/>
      <c r="BG68" s="852"/>
      <c r="BH68" s="852"/>
      <c r="BI68" s="852"/>
      <c r="BJ68" s="852"/>
      <c r="BK68" s="852"/>
      <c r="BL68" s="852"/>
      <c r="BM68" s="852"/>
      <c r="BN68" s="852"/>
      <c r="BO68" s="852"/>
      <c r="BP68" s="852"/>
      <c r="BQ68" s="852"/>
      <c r="BR68" s="852"/>
      <c r="BS68" s="852"/>
      <c r="BT68" s="852"/>
      <c r="BU68" s="852"/>
      <c r="BV68" s="852"/>
      <c r="BW68" s="852"/>
      <c r="BX68" s="852"/>
      <c r="BY68" s="852"/>
      <c r="BZ68" s="852"/>
      <c r="CA68" s="852"/>
      <c r="CB68" s="852"/>
      <c r="CC68" s="852"/>
      <c r="CD68" s="852"/>
      <c r="CE68" s="852"/>
      <c r="CF68" s="852"/>
      <c r="CG68" s="852"/>
      <c r="CH68" s="852"/>
    </row>
    <row r="69" spans="1:86" ht="15.75" outlineLevel="1">
      <c r="A69" s="852"/>
      <c r="B69" s="850" t="s">
        <v>461</v>
      </c>
      <c r="C69" s="1467">
        <v>21537</v>
      </c>
      <c r="D69" s="1467">
        <f t="shared" ref="D69:N69" si="19">IFERROR(ROUND((C69/DAY(EOMONTH(C38,0)))*DAY(EOMONTH(D38,0)),0),"")</f>
        <v>19453</v>
      </c>
      <c r="E69" s="1467">
        <f t="shared" si="19"/>
        <v>21537</v>
      </c>
      <c r="F69" s="1467">
        <f t="shared" si="19"/>
        <v>20842</v>
      </c>
      <c r="G69" s="1467">
        <f t="shared" si="19"/>
        <v>21537</v>
      </c>
      <c r="H69" s="1467">
        <f t="shared" si="19"/>
        <v>20842</v>
      </c>
      <c r="I69" s="1467">
        <f t="shared" si="19"/>
        <v>21537</v>
      </c>
      <c r="J69" s="1467">
        <f t="shared" si="19"/>
        <v>21537</v>
      </c>
      <c r="K69" s="1467">
        <f t="shared" si="19"/>
        <v>20842</v>
      </c>
      <c r="L69" s="1467">
        <f t="shared" si="19"/>
        <v>21537</v>
      </c>
      <c r="M69" s="1467">
        <f t="shared" si="19"/>
        <v>20842</v>
      </c>
      <c r="N69" s="1467">
        <f t="shared" si="19"/>
        <v>21537</v>
      </c>
      <c r="O69" s="715">
        <f t="shared" si="17"/>
        <v>253580</v>
      </c>
      <c r="P69" s="556"/>
      <c r="Q69" s="556"/>
      <c r="R69" s="556"/>
      <c r="S69" s="556"/>
      <c r="T69" s="71"/>
      <c r="U69" s="71"/>
      <c r="V69" s="71"/>
      <c r="W69" s="71"/>
      <c r="X69" s="71"/>
      <c r="Y69" s="1495"/>
      <c r="Z69" s="1380"/>
      <c r="AA69" s="1375"/>
      <c r="AB69" s="852"/>
      <c r="AC69" s="852"/>
      <c r="AD69" s="852"/>
      <c r="AE69" s="852"/>
      <c r="AF69" s="852"/>
      <c r="AG69" s="852"/>
      <c r="AH69" s="852"/>
      <c r="AI69" s="852"/>
      <c r="AJ69" s="852"/>
      <c r="AK69" s="852"/>
      <c r="AL69" s="852"/>
      <c r="AM69" s="852"/>
      <c r="AN69" s="852"/>
      <c r="AO69" s="852"/>
      <c r="AP69" s="852"/>
      <c r="AQ69" s="852"/>
      <c r="AR69" s="852"/>
      <c r="AS69" s="852"/>
      <c r="AT69" s="852"/>
      <c r="AU69" s="852"/>
      <c r="AV69" s="852"/>
      <c r="AW69" s="852"/>
      <c r="AX69" s="852"/>
      <c r="AY69" s="852"/>
      <c r="AZ69" s="852"/>
      <c r="BA69" s="852"/>
      <c r="BB69" s="852"/>
      <c r="BC69" s="852"/>
      <c r="BD69" s="852"/>
      <c r="BE69" s="852"/>
      <c r="BF69" s="852"/>
      <c r="BG69" s="852"/>
      <c r="BH69" s="852"/>
      <c r="BI69" s="852"/>
      <c r="BJ69" s="852"/>
      <c r="BK69" s="852"/>
      <c r="BL69" s="852"/>
      <c r="BM69" s="852"/>
      <c r="BN69" s="852"/>
      <c r="BO69" s="852"/>
      <c r="BP69" s="852"/>
      <c r="BQ69" s="852"/>
      <c r="BR69" s="852"/>
      <c r="BS69" s="852"/>
      <c r="BT69" s="852"/>
      <c r="BU69" s="852"/>
      <c r="BV69" s="852"/>
      <c r="BW69" s="852"/>
      <c r="BX69" s="852"/>
      <c r="BY69" s="852"/>
      <c r="BZ69" s="852"/>
      <c r="CA69" s="852"/>
      <c r="CB69" s="852"/>
      <c r="CC69" s="852"/>
      <c r="CD69" s="852"/>
      <c r="CE69" s="852"/>
      <c r="CF69" s="852"/>
      <c r="CG69" s="852"/>
      <c r="CH69" s="852"/>
    </row>
    <row r="70" spans="1:86" ht="15.75" outlineLevel="1">
      <c r="B70" s="718" t="s">
        <v>590</v>
      </c>
      <c r="C70" s="1437"/>
      <c r="D70" s="1468"/>
      <c r="E70" s="1438"/>
      <c r="F70" s="1438"/>
      <c r="G70" s="1438"/>
      <c r="H70" s="1438"/>
      <c r="I70" s="1438"/>
      <c r="J70" s="1438"/>
      <c r="K70" s="1438">
        <v>54330</v>
      </c>
      <c r="L70" s="1469"/>
      <c r="M70" s="1438"/>
      <c r="N70" s="1438"/>
      <c r="O70" s="715">
        <f t="shared" si="17"/>
        <v>54330</v>
      </c>
      <c r="P70" s="556"/>
      <c r="Q70" s="556"/>
      <c r="R70" s="556"/>
      <c r="S70" s="556"/>
      <c r="T70" s="71"/>
      <c r="U70" s="279"/>
      <c r="V70" s="72"/>
      <c r="W70" s="74"/>
      <c r="X70" s="74"/>
      <c r="Y70" s="1353"/>
      <c r="Z70" s="1380"/>
      <c r="AA70" s="1375"/>
      <c r="AB70" s="852"/>
      <c r="AC70" s="852"/>
      <c r="AD70" s="852"/>
      <c r="AE70" s="852"/>
      <c r="AF70" s="852"/>
      <c r="AG70" s="852"/>
      <c r="AH70" s="852"/>
      <c r="AI70" s="852"/>
      <c r="AJ70" s="852"/>
      <c r="AK70" s="852"/>
      <c r="AL70" s="852"/>
      <c r="AM70" s="852"/>
      <c r="AN70" s="852"/>
      <c r="AO70" s="852"/>
      <c r="AP70" s="852"/>
      <c r="AQ70" s="852"/>
      <c r="AR70" s="852"/>
      <c r="AS70" s="852"/>
      <c r="AT70" s="852"/>
      <c r="AU70" s="852"/>
      <c r="AV70" s="852"/>
      <c r="AW70" s="852"/>
      <c r="AX70" s="852"/>
      <c r="AY70" s="852"/>
      <c r="AZ70" s="852"/>
      <c r="BA70" s="852"/>
      <c r="BB70" s="852"/>
      <c r="BC70" s="852"/>
      <c r="BD70" s="852"/>
      <c r="BE70" s="852"/>
      <c r="BF70" s="852"/>
      <c r="BG70" s="852"/>
      <c r="BH70" s="852"/>
      <c r="BI70" s="852"/>
      <c r="BJ70" s="852"/>
      <c r="BK70" s="852"/>
      <c r="BL70" s="852"/>
      <c r="BM70" s="852"/>
      <c r="BN70" s="852"/>
      <c r="BO70" s="852"/>
      <c r="BP70" s="852"/>
      <c r="BQ70" s="852"/>
      <c r="BR70" s="852"/>
      <c r="BS70" s="852"/>
      <c r="BT70" s="852"/>
      <c r="BU70" s="852"/>
      <c r="BV70" s="852"/>
      <c r="BW70" s="852"/>
      <c r="BX70" s="852"/>
      <c r="BY70" s="852"/>
      <c r="BZ70" s="852"/>
      <c r="CA70" s="852"/>
      <c r="CB70" s="852"/>
      <c r="CC70" s="852"/>
      <c r="CD70" s="852"/>
      <c r="CE70" s="852"/>
      <c r="CF70" s="852"/>
      <c r="CG70" s="852"/>
      <c r="CH70" s="852"/>
    </row>
    <row r="71" spans="1:86" ht="15.75" outlineLevel="1">
      <c r="B71" s="1492" t="s">
        <v>640</v>
      </c>
      <c r="C71" s="1437"/>
      <c r="D71" s="1438">
        <f>(22190*(1-(24-15.5)/24)+(20100*(1-(24-11)/24)))</f>
        <v>23543.541666666664</v>
      </c>
      <c r="E71" s="1438"/>
      <c r="F71" s="1438">
        <v>105827.87187267475</v>
      </c>
      <c r="G71" s="1438"/>
      <c r="H71" s="1438"/>
      <c r="I71" s="1438"/>
      <c r="J71" s="1438"/>
      <c r="K71" s="1438"/>
      <c r="L71" s="1438"/>
      <c r="M71" s="1438"/>
      <c r="N71" s="1438">
        <f>47797+44405</f>
        <v>92202</v>
      </c>
      <c r="O71" s="715"/>
      <c r="P71" s="556"/>
      <c r="Q71" s="556"/>
      <c r="R71" s="556"/>
      <c r="S71" s="556"/>
      <c r="T71" s="71"/>
      <c r="U71" s="279"/>
      <c r="V71" s="72"/>
      <c r="W71" s="74"/>
      <c r="X71" s="74"/>
      <c r="Y71" s="1353"/>
      <c r="Z71" s="1380"/>
      <c r="AA71" s="1375"/>
      <c r="AB71" s="852"/>
      <c r="AC71" s="852"/>
      <c r="AD71" s="852"/>
      <c r="AE71" s="852"/>
      <c r="AF71" s="852"/>
      <c r="AG71" s="852"/>
      <c r="AH71" s="852"/>
      <c r="AI71" s="852"/>
      <c r="AJ71" s="852"/>
      <c r="AK71" s="852"/>
      <c r="AL71" s="852"/>
      <c r="AM71" s="852"/>
      <c r="AN71" s="852"/>
      <c r="AO71" s="852"/>
      <c r="AP71" s="852"/>
      <c r="AQ71" s="852"/>
      <c r="AR71" s="852"/>
      <c r="AS71" s="852"/>
      <c r="AT71" s="852"/>
      <c r="AU71" s="852"/>
      <c r="AV71" s="852"/>
      <c r="AW71" s="852"/>
      <c r="AX71" s="852"/>
      <c r="AY71" s="852"/>
      <c r="AZ71" s="852"/>
      <c r="BA71" s="852"/>
      <c r="BB71" s="852"/>
      <c r="BC71" s="852"/>
      <c r="BD71" s="852"/>
      <c r="BE71" s="852"/>
      <c r="BF71" s="852"/>
      <c r="BG71" s="852"/>
      <c r="BH71" s="852"/>
      <c r="BI71" s="852"/>
      <c r="BJ71" s="852"/>
      <c r="BK71" s="852"/>
      <c r="BL71" s="852"/>
      <c r="BM71" s="852"/>
      <c r="BN71" s="852"/>
      <c r="BO71" s="852"/>
      <c r="BP71" s="852"/>
      <c r="BQ71" s="852"/>
      <c r="BR71" s="852"/>
      <c r="BS71" s="852"/>
      <c r="BT71" s="852"/>
      <c r="BU71" s="852"/>
      <c r="BV71" s="852"/>
      <c r="BW71" s="852"/>
      <c r="BX71" s="852"/>
      <c r="BY71" s="852"/>
      <c r="BZ71" s="852"/>
      <c r="CA71" s="852"/>
      <c r="CB71" s="852"/>
      <c r="CC71" s="852"/>
      <c r="CD71" s="852"/>
      <c r="CE71" s="852"/>
      <c r="CF71" s="852"/>
      <c r="CG71" s="852"/>
      <c r="CH71" s="852"/>
    </row>
    <row r="72" spans="1:86" ht="15.75" outlineLevel="1">
      <c r="B72" s="719" t="s">
        <v>408</v>
      </c>
      <c r="C72" s="1470">
        <v>4416900</v>
      </c>
      <c r="D72" s="1470">
        <v>3962000</v>
      </c>
      <c r="E72" s="1470">
        <v>4486500</v>
      </c>
      <c r="F72" s="1471">
        <v>3950200</v>
      </c>
      <c r="G72" s="1471">
        <v>4463100</v>
      </c>
      <c r="H72" s="1471">
        <v>4279200</v>
      </c>
      <c r="I72" s="1472">
        <v>4460800</v>
      </c>
      <c r="J72" s="1471">
        <v>4441200</v>
      </c>
      <c r="K72" s="1471">
        <v>4072300</v>
      </c>
      <c r="L72" s="1471">
        <v>4425100</v>
      </c>
      <c r="M72" s="1471">
        <v>4282800</v>
      </c>
      <c r="N72" s="1471">
        <v>4437580</v>
      </c>
      <c r="O72" s="1432">
        <f t="shared" si="17"/>
        <v>51677680</v>
      </c>
      <c r="P72" s="556"/>
      <c r="Q72" s="556"/>
      <c r="R72" s="556"/>
      <c r="S72" s="556"/>
      <c r="T72" s="71"/>
      <c r="U72" s="279"/>
      <c r="V72" s="72"/>
      <c r="W72" s="73"/>
      <c r="X72" s="75"/>
      <c r="Y72" s="1353"/>
      <c r="Z72" s="1380"/>
      <c r="AA72" s="1375"/>
      <c r="AB72" s="852"/>
      <c r="AC72" s="852"/>
      <c r="AD72" s="852"/>
      <c r="AE72" s="852"/>
      <c r="AF72" s="852"/>
      <c r="AG72" s="852"/>
      <c r="AH72" s="852"/>
      <c r="AI72" s="852"/>
      <c r="AJ72" s="852"/>
      <c r="AK72" s="852"/>
      <c r="AL72" s="852"/>
      <c r="AM72" s="852"/>
      <c r="AN72" s="852"/>
      <c r="AO72" s="852"/>
      <c r="AP72" s="852"/>
      <c r="AQ72" s="852"/>
      <c r="AR72" s="852"/>
      <c r="AS72" s="852"/>
      <c r="AT72" s="852"/>
      <c r="AU72" s="852"/>
      <c r="AV72" s="852"/>
      <c r="AW72" s="852"/>
      <c r="AX72" s="852"/>
      <c r="AY72" s="852"/>
      <c r="AZ72" s="852"/>
      <c r="BA72" s="852"/>
      <c r="BB72" s="852"/>
      <c r="BC72" s="852"/>
      <c r="BD72" s="852"/>
      <c r="BE72" s="852"/>
      <c r="BF72" s="852"/>
      <c r="BG72" s="852"/>
      <c r="BH72" s="852"/>
      <c r="BI72" s="852"/>
      <c r="BJ72" s="852"/>
      <c r="BK72" s="852"/>
      <c r="BL72" s="852"/>
      <c r="BM72" s="852"/>
      <c r="BN72" s="852"/>
      <c r="BO72" s="852"/>
      <c r="BP72" s="852"/>
      <c r="BQ72" s="852"/>
      <c r="BR72" s="852"/>
      <c r="BS72" s="852"/>
      <c r="BT72" s="852"/>
      <c r="BU72" s="852"/>
      <c r="BV72" s="852"/>
      <c r="BW72" s="852"/>
      <c r="BX72" s="852"/>
      <c r="BY72" s="852"/>
      <c r="BZ72" s="852"/>
      <c r="CA72" s="852"/>
      <c r="CB72" s="852"/>
      <c r="CC72" s="852"/>
      <c r="CD72" s="852"/>
      <c r="CE72" s="852"/>
      <c r="CF72" s="852"/>
      <c r="CG72" s="852"/>
      <c r="CH72" s="852"/>
    </row>
    <row r="73" spans="1:86" ht="15.75" outlineLevel="1">
      <c r="B73" s="648" t="s">
        <v>415</v>
      </c>
      <c r="C73" s="1473">
        <f>C72-C74-C75-C77-C76</f>
        <v>4416900</v>
      </c>
      <c r="D73" s="1473">
        <f t="shared" ref="D73:N73" si="20">D72-D74-D75-D77-D76</f>
        <v>3831384.958784542</v>
      </c>
      <c r="E73" s="1473">
        <f t="shared" si="20"/>
        <v>4486500</v>
      </c>
      <c r="F73" s="1473">
        <f t="shared" si="20"/>
        <v>3477815.3533842061</v>
      </c>
      <c r="G73" s="1473">
        <f t="shared" si="20"/>
        <v>4463100</v>
      </c>
      <c r="H73" s="1473">
        <f t="shared" si="20"/>
        <v>4279200</v>
      </c>
      <c r="I73" s="1473">
        <f t="shared" si="20"/>
        <v>4441577.6931924345</v>
      </c>
      <c r="J73" s="1473">
        <f t="shared" si="20"/>
        <v>4415062</v>
      </c>
      <c r="K73" s="1473">
        <f t="shared" si="20"/>
        <v>3768517</v>
      </c>
      <c r="L73" s="1473">
        <f t="shared" si="20"/>
        <v>4394219</v>
      </c>
      <c r="M73" s="1473">
        <f t="shared" si="20"/>
        <v>4252573</v>
      </c>
      <c r="N73" s="1473">
        <f t="shared" si="20"/>
        <v>4079673</v>
      </c>
      <c r="O73" s="715">
        <f t="shared" si="17"/>
        <v>50306522.005361184</v>
      </c>
      <c r="P73" s="556"/>
      <c r="Q73" s="556"/>
      <c r="R73" s="556"/>
      <c r="S73" s="556"/>
      <c r="T73" s="71"/>
      <c r="U73" s="279"/>
      <c r="V73" s="72"/>
      <c r="W73" s="73"/>
      <c r="X73" s="75"/>
      <c r="Y73" s="1353"/>
      <c r="Z73" s="1380"/>
      <c r="AA73" s="1375"/>
      <c r="AB73" s="852"/>
      <c r="AC73" s="852"/>
      <c r="AD73" s="852"/>
      <c r="AE73" s="852"/>
      <c r="AF73" s="852"/>
      <c r="AG73" s="852"/>
      <c r="AH73" s="852"/>
      <c r="AI73" s="852"/>
      <c r="AJ73" s="852"/>
      <c r="AK73" s="852"/>
      <c r="AL73" s="852"/>
      <c r="AM73" s="852"/>
      <c r="AN73" s="852"/>
      <c r="AO73" s="852"/>
      <c r="AP73" s="852"/>
      <c r="AQ73" s="852"/>
      <c r="AR73" s="852"/>
      <c r="AS73" s="852"/>
      <c r="AT73" s="852"/>
      <c r="AU73" s="852"/>
      <c r="AV73" s="852"/>
      <c r="AW73" s="852"/>
      <c r="AX73" s="852"/>
      <c r="AY73" s="852"/>
      <c r="AZ73" s="852"/>
      <c r="BA73" s="852"/>
      <c r="BB73" s="852"/>
      <c r="BC73" s="852"/>
      <c r="BD73" s="852"/>
      <c r="BE73" s="852"/>
      <c r="BF73" s="852"/>
      <c r="BG73" s="852"/>
      <c r="BH73" s="852"/>
      <c r="BI73" s="852"/>
      <c r="BJ73" s="852"/>
      <c r="BK73" s="852"/>
      <c r="BL73" s="852"/>
      <c r="BM73" s="852"/>
      <c r="BN73" s="852"/>
      <c r="BO73" s="852"/>
      <c r="BP73" s="852"/>
      <c r="BQ73" s="852"/>
      <c r="BR73" s="852"/>
      <c r="BS73" s="852"/>
      <c r="BT73" s="852"/>
      <c r="BU73" s="852"/>
      <c r="BV73" s="852"/>
      <c r="BW73" s="852"/>
      <c r="BX73" s="852"/>
      <c r="BY73" s="852"/>
      <c r="BZ73" s="852"/>
      <c r="CA73" s="852"/>
      <c r="CB73" s="852"/>
      <c r="CC73" s="852"/>
      <c r="CD73" s="852"/>
      <c r="CE73" s="852"/>
      <c r="CF73" s="852"/>
      <c r="CG73" s="852"/>
      <c r="CH73" s="852"/>
    </row>
    <row r="74" spans="1:86" ht="15.75" outlineLevel="1">
      <c r="B74" s="717" t="s">
        <v>416</v>
      </c>
      <c r="C74" s="1434"/>
      <c r="D74" s="1434"/>
      <c r="E74" s="1435"/>
      <c r="F74" s="1436"/>
      <c r="G74" s="1435"/>
      <c r="H74" s="1435"/>
      <c r="I74" s="1435"/>
      <c r="J74" s="1435"/>
      <c r="K74" s="1435"/>
      <c r="L74" s="1474"/>
      <c r="M74" s="1435"/>
      <c r="N74" s="1435"/>
      <c r="O74" s="715">
        <f t="shared" si="17"/>
        <v>0</v>
      </c>
      <c r="P74" s="556"/>
      <c r="Q74" s="556"/>
      <c r="R74" s="556"/>
      <c r="S74" s="556"/>
      <c r="T74" s="71"/>
      <c r="U74" s="279"/>
      <c r="V74" s="72"/>
      <c r="W74" s="73"/>
      <c r="X74" s="75"/>
      <c r="Y74" s="1353"/>
      <c r="Z74" s="1380"/>
      <c r="AA74" s="1375"/>
      <c r="AB74" s="852"/>
      <c r="AC74" s="852"/>
      <c r="AD74" s="852"/>
      <c r="AE74" s="852"/>
      <c r="AF74" s="852"/>
      <c r="AG74" s="852"/>
      <c r="AH74" s="852"/>
      <c r="AI74" s="852"/>
      <c r="AJ74" s="852"/>
      <c r="AK74" s="852"/>
      <c r="AL74" s="852"/>
      <c r="AM74" s="852"/>
      <c r="AN74" s="852"/>
      <c r="AO74" s="852"/>
      <c r="AP74" s="852"/>
      <c r="AQ74" s="852"/>
      <c r="AR74" s="852"/>
      <c r="AS74" s="852"/>
      <c r="AT74" s="852"/>
      <c r="AU74" s="852"/>
      <c r="AV74" s="852"/>
      <c r="AW74" s="852"/>
      <c r="AX74" s="852"/>
      <c r="AY74" s="852"/>
      <c r="AZ74" s="852"/>
      <c r="BA74" s="852"/>
      <c r="BB74" s="852"/>
      <c r="BC74" s="852"/>
      <c r="BD74" s="852"/>
      <c r="BE74" s="852"/>
      <c r="BF74" s="852"/>
      <c r="BG74" s="852"/>
      <c r="BH74" s="852"/>
      <c r="BI74" s="852"/>
      <c r="BJ74" s="852"/>
      <c r="BK74" s="852"/>
      <c r="BL74" s="852"/>
      <c r="BM74" s="852"/>
      <c r="BN74" s="852"/>
      <c r="BO74" s="852"/>
      <c r="BP74" s="852"/>
      <c r="BQ74" s="852"/>
      <c r="BR74" s="852"/>
      <c r="BS74" s="852"/>
      <c r="BT74" s="852"/>
      <c r="BU74" s="852"/>
      <c r="BV74" s="852"/>
      <c r="BW74" s="852"/>
      <c r="BX74" s="852"/>
      <c r="BY74" s="852"/>
      <c r="BZ74" s="852"/>
      <c r="CA74" s="852"/>
      <c r="CB74" s="852"/>
      <c r="CC74" s="852"/>
      <c r="CD74" s="852"/>
      <c r="CE74" s="852"/>
      <c r="CF74" s="852"/>
      <c r="CG74" s="852"/>
      <c r="CH74" s="852"/>
    </row>
    <row r="75" spans="1:86" ht="15.75" outlineLevel="1">
      <c r="B75" s="718" t="s">
        <v>590</v>
      </c>
      <c r="C75" s="1437"/>
      <c r="D75" s="1468"/>
      <c r="E75" s="1438"/>
      <c r="F75" s="1438"/>
      <c r="G75" s="1438"/>
      <c r="H75" s="1438"/>
      <c r="I75" s="1438"/>
      <c r="J75" s="1438"/>
      <c r="K75" s="1438">
        <v>275151</v>
      </c>
      <c r="L75" s="1438"/>
      <c r="M75" s="1438"/>
      <c r="N75" s="1438"/>
      <c r="O75" s="715">
        <f t="shared" si="17"/>
        <v>275151</v>
      </c>
      <c r="P75" s="556"/>
      <c r="Q75" s="556"/>
      <c r="R75" s="556"/>
      <c r="S75" s="556"/>
      <c r="T75" s="71"/>
      <c r="U75" s="279"/>
      <c r="V75" s="72"/>
      <c r="W75" s="73"/>
      <c r="X75" s="75"/>
      <c r="Y75" s="1353"/>
      <c r="Z75" s="1380"/>
      <c r="AA75" s="1375"/>
      <c r="AB75" s="852"/>
      <c r="AC75" s="852"/>
      <c r="AD75" s="852"/>
      <c r="AE75" s="852"/>
      <c r="AF75" s="852"/>
      <c r="AG75" s="852"/>
      <c r="AH75" s="852"/>
      <c r="AI75" s="852"/>
      <c r="AJ75" s="852"/>
      <c r="AK75" s="852"/>
      <c r="AL75" s="852"/>
      <c r="AM75" s="852"/>
      <c r="AN75" s="852"/>
      <c r="AO75" s="852"/>
      <c r="AP75" s="852"/>
      <c r="AQ75" s="852"/>
      <c r="AR75" s="852"/>
      <c r="AS75" s="852"/>
      <c r="AT75" s="852"/>
      <c r="AU75" s="852"/>
      <c r="AV75" s="852"/>
      <c r="AW75" s="852"/>
      <c r="AX75" s="852"/>
      <c r="AY75" s="852"/>
      <c r="AZ75" s="852"/>
      <c r="BA75" s="852"/>
      <c r="BB75" s="852"/>
      <c r="BC75" s="852"/>
      <c r="BD75" s="852"/>
      <c r="BE75" s="852"/>
      <c r="BF75" s="852"/>
      <c r="BG75" s="852"/>
      <c r="BH75" s="852"/>
      <c r="BI75" s="852"/>
      <c r="BJ75" s="852"/>
      <c r="BK75" s="852"/>
      <c r="BL75" s="852"/>
      <c r="BM75" s="852"/>
      <c r="BN75" s="852"/>
      <c r="BO75" s="852"/>
      <c r="BP75" s="852"/>
      <c r="BQ75" s="852"/>
      <c r="BR75" s="852"/>
      <c r="BS75" s="852"/>
      <c r="BT75" s="852"/>
      <c r="BU75" s="852"/>
      <c r="BV75" s="852"/>
      <c r="BW75" s="852"/>
      <c r="BX75" s="852"/>
      <c r="BY75" s="852"/>
      <c r="BZ75" s="852"/>
      <c r="CA75" s="852"/>
      <c r="CB75" s="852"/>
      <c r="CC75" s="852"/>
      <c r="CD75" s="852"/>
      <c r="CE75" s="852"/>
      <c r="CF75" s="852"/>
      <c r="CG75" s="852"/>
      <c r="CH75" s="852"/>
    </row>
    <row r="76" spans="1:86" ht="15.75" outlineLevel="1">
      <c r="B76" s="1492" t="s">
        <v>640</v>
      </c>
      <c r="C76" s="1437"/>
      <c r="D76" s="1437">
        <v>130615.041215458</v>
      </c>
      <c r="E76" s="1438"/>
      <c r="F76" s="1438">
        <v>472384.64661579399</v>
      </c>
      <c r="G76" s="1438"/>
      <c r="H76" s="1438"/>
      <c r="I76" s="1438"/>
      <c r="J76" s="1438"/>
      <c r="K76" s="1438"/>
      <c r="L76" s="1438"/>
      <c r="M76" s="1438"/>
      <c r="N76" s="1438">
        <f>143254+184000</f>
        <v>327254</v>
      </c>
      <c r="O76" s="715">
        <f t="shared" si="17"/>
        <v>930253.687831252</v>
      </c>
      <c r="P76" s="556"/>
      <c r="Q76" s="556"/>
      <c r="R76" s="556"/>
      <c r="S76" s="556"/>
      <c r="T76" s="71"/>
      <c r="U76" s="279"/>
      <c r="V76" s="72"/>
      <c r="W76" s="73"/>
      <c r="X76" s="75"/>
      <c r="Y76" s="1353"/>
      <c r="Z76" s="1380"/>
      <c r="AA76" s="1375"/>
      <c r="AB76" s="852"/>
      <c r="AC76" s="852"/>
      <c r="AD76" s="852"/>
      <c r="AE76" s="852"/>
      <c r="AF76" s="852"/>
      <c r="AG76" s="852"/>
      <c r="AH76" s="852"/>
      <c r="AI76" s="852"/>
      <c r="AJ76" s="852"/>
      <c r="AK76" s="852"/>
      <c r="AL76" s="852"/>
      <c r="AM76" s="852"/>
      <c r="AN76" s="852"/>
      <c r="AO76" s="852"/>
      <c r="AP76" s="852"/>
      <c r="AQ76" s="852"/>
      <c r="AR76" s="852"/>
      <c r="AS76" s="852"/>
      <c r="AT76" s="852"/>
      <c r="AU76" s="852"/>
      <c r="AV76" s="852"/>
      <c r="AW76" s="852"/>
      <c r="AX76" s="852"/>
      <c r="AY76" s="852"/>
      <c r="AZ76" s="852"/>
      <c r="BA76" s="852"/>
      <c r="BB76" s="852"/>
      <c r="BC76" s="852"/>
      <c r="BD76" s="852"/>
      <c r="BE76" s="852"/>
      <c r="BF76" s="852"/>
      <c r="BG76" s="852"/>
      <c r="BH76" s="852"/>
      <c r="BI76" s="852"/>
      <c r="BJ76" s="852"/>
      <c r="BK76" s="852"/>
      <c r="BL76" s="852"/>
      <c r="BM76" s="852"/>
      <c r="BN76" s="852"/>
      <c r="BO76" s="852"/>
      <c r="BP76" s="852"/>
      <c r="BQ76" s="852"/>
      <c r="BR76" s="852"/>
      <c r="BS76" s="852"/>
      <c r="BT76" s="852"/>
      <c r="BU76" s="852"/>
      <c r="BV76" s="852"/>
      <c r="BW76" s="852"/>
      <c r="BX76" s="852"/>
      <c r="BY76" s="852"/>
      <c r="BZ76" s="852"/>
      <c r="CA76" s="852"/>
      <c r="CB76" s="852"/>
      <c r="CC76" s="852"/>
      <c r="CD76" s="852"/>
      <c r="CE76" s="852"/>
      <c r="CF76" s="852"/>
      <c r="CG76" s="852"/>
      <c r="CH76" s="852"/>
    </row>
    <row r="77" spans="1:86" ht="15.75" outlineLevel="1">
      <c r="A77" s="852"/>
      <c r="B77" s="850" t="s">
        <v>597</v>
      </c>
      <c r="C77" s="1475">
        <v>0</v>
      </c>
      <c r="D77" s="1475">
        <v>0</v>
      </c>
      <c r="E77" s="1475">
        <v>0</v>
      </c>
      <c r="F77" s="1475">
        <v>0</v>
      </c>
      <c r="G77" s="1475">
        <v>0</v>
      </c>
      <c r="H77" s="1467">
        <v>0</v>
      </c>
      <c r="I77" s="1467">
        <v>19222.306807565397</v>
      </c>
      <c r="J77" s="1467">
        <v>26138</v>
      </c>
      <c r="K77" s="1467">
        <v>28632</v>
      </c>
      <c r="L77" s="1467">
        <v>30881</v>
      </c>
      <c r="M77" s="1467">
        <v>30227</v>
      </c>
      <c r="N77" s="1467">
        <v>30653</v>
      </c>
      <c r="O77" s="715">
        <f t="shared" ref="O77:O88" si="21">SUM(C77:N77)</f>
        <v>165753.30680756539</v>
      </c>
      <c r="P77" s="556"/>
      <c r="Q77" s="556"/>
      <c r="R77" s="556"/>
      <c r="S77" s="556"/>
      <c r="T77" s="71"/>
      <c r="U77" s="71"/>
      <c r="V77" s="71"/>
      <c r="W77" s="71"/>
      <c r="X77" s="71"/>
      <c r="Y77" s="1381"/>
      <c r="Z77" s="1380"/>
      <c r="AA77" s="1375"/>
      <c r="AB77" s="852"/>
      <c r="AC77" s="852"/>
      <c r="AD77" s="852"/>
      <c r="AE77" s="852"/>
      <c r="AF77" s="852"/>
      <c r="AG77" s="852"/>
      <c r="AH77" s="852"/>
      <c r="AI77" s="852"/>
      <c r="AJ77" s="852"/>
      <c r="AK77" s="852"/>
      <c r="AL77" s="852"/>
      <c r="AM77" s="852"/>
      <c r="AN77" s="852"/>
      <c r="AO77" s="852"/>
      <c r="AP77" s="852"/>
      <c r="AQ77" s="852"/>
      <c r="AR77" s="852"/>
      <c r="AS77" s="852"/>
      <c r="AT77" s="852"/>
      <c r="AU77" s="852"/>
      <c r="AV77" s="852"/>
      <c r="AW77" s="852"/>
      <c r="AX77" s="852"/>
      <c r="AY77" s="852"/>
      <c r="AZ77" s="852"/>
      <c r="BA77" s="852"/>
      <c r="BB77" s="852"/>
      <c r="BC77" s="852"/>
      <c r="BD77" s="852"/>
      <c r="BE77" s="852"/>
      <c r="BF77" s="852"/>
      <c r="BG77" s="852"/>
      <c r="BH77" s="852"/>
      <c r="BI77" s="852"/>
      <c r="BJ77" s="852"/>
      <c r="BK77" s="852"/>
      <c r="BL77" s="852"/>
      <c r="BM77" s="852"/>
      <c r="BN77" s="852"/>
      <c r="BO77" s="852"/>
      <c r="BP77" s="852"/>
      <c r="BQ77" s="852"/>
      <c r="BR77" s="852"/>
      <c r="BS77" s="852"/>
      <c r="BT77" s="852"/>
      <c r="BU77" s="852"/>
      <c r="BV77" s="852"/>
      <c r="BW77" s="852"/>
      <c r="BX77" s="852"/>
      <c r="BY77" s="852"/>
      <c r="BZ77" s="852"/>
      <c r="CA77" s="852"/>
      <c r="CB77" s="852"/>
      <c r="CC77" s="852"/>
      <c r="CD77" s="852"/>
      <c r="CE77" s="852"/>
      <c r="CF77" s="852"/>
      <c r="CG77" s="852"/>
      <c r="CH77" s="852"/>
    </row>
    <row r="78" spans="1:86" ht="15.75" hidden="1" outlineLevel="1">
      <c r="B78" s="330" t="s">
        <v>69</v>
      </c>
      <c r="C78" s="726"/>
      <c r="D78" s="726"/>
      <c r="E78" s="726"/>
      <c r="F78" s="726"/>
      <c r="G78" s="726"/>
      <c r="H78" s="726"/>
      <c r="I78" s="726"/>
      <c r="J78" s="726"/>
      <c r="K78" s="726"/>
      <c r="L78" s="726"/>
      <c r="M78" s="726"/>
      <c r="N78" s="726"/>
      <c r="O78" s="58">
        <f t="shared" si="21"/>
        <v>0</v>
      </c>
      <c r="P78" s="556"/>
      <c r="Q78" s="556"/>
      <c r="R78" s="556"/>
      <c r="S78" s="556"/>
      <c r="T78" s="71"/>
      <c r="U78" s="279"/>
      <c r="V78" s="72"/>
      <c r="W78" s="73"/>
      <c r="X78" s="75"/>
      <c r="Y78" s="1353"/>
      <c r="Z78" s="1357"/>
      <c r="AA78" s="1375"/>
      <c r="AB78" s="852"/>
      <c r="AC78" s="852"/>
      <c r="AD78" s="852"/>
      <c r="AE78" s="852"/>
      <c r="AF78" s="852"/>
      <c r="AG78" s="852"/>
      <c r="AH78" s="852"/>
      <c r="AI78" s="852"/>
      <c r="AJ78" s="852"/>
      <c r="AK78" s="852"/>
      <c r="AL78" s="852"/>
      <c r="AM78" s="852"/>
      <c r="AN78" s="852"/>
      <c r="AO78" s="852"/>
      <c r="AP78" s="852"/>
      <c r="AQ78" s="852"/>
      <c r="AR78" s="852"/>
      <c r="AS78" s="852"/>
      <c r="AT78" s="852"/>
      <c r="AU78" s="852"/>
      <c r="AV78" s="852"/>
      <c r="AW78" s="852"/>
      <c r="AX78" s="852"/>
      <c r="AY78" s="852"/>
      <c r="AZ78" s="852"/>
      <c r="BA78" s="852"/>
      <c r="BB78" s="852"/>
      <c r="BC78" s="852"/>
      <c r="BD78" s="852"/>
      <c r="BE78" s="852"/>
      <c r="BF78" s="852"/>
      <c r="BG78" s="852"/>
      <c r="BH78" s="852"/>
      <c r="BI78" s="852"/>
      <c r="BJ78" s="852"/>
      <c r="BK78" s="852"/>
      <c r="BL78" s="852"/>
      <c r="BM78" s="852"/>
      <c r="BN78" s="852"/>
      <c r="BO78" s="852"/>
      <c r="BP78" s="852"/>
      <c r="BQ78" s="852"/>
      <c r="BR78" s="852"/>
      <c r="BS78" s="852"/>
      <c r="BT78" s="852"/>
      <c r="BU78" s="852"/>
      <c r="BV78" s="852"/>
      <c r="BW78" s="852"/>
      <c r="BX78" s="852"/>
      <c r="BY78" s="852"/>
      <c r="BZ78" s="852"/>
      <c r="CA78" s="852"/>
      <c r="CB78" s="852"/>
      <c r="CC78" s="852"/>
      <c r="CD78" s="852"/>
      <c r="CE78" s="852"/>
      <c r="CF78" s="852"/>
      <c r="CG78" s="852"/>
      <c r="CH78" s="852"/>
    </row>
    <row r="79" spans="1:86" ht="15.75" hidden="1" outlineLevel="1">
      <c r="B79" s="331" t="s">
        <v>70</v>
      </c>
      <c r="C79" s="726"/>
      <c r="D79" s="726"/>
      <c r="E79" s="726"/>
      <c r="F79" s="726"/>
      <c r="G79" s="726"/>
      <c r="H79" s="726"/>
      <c r="I79" s="726"/>
      <c r="J79" s="726"/>
      <c r="K79" s="726"/>
      <c r="L79" s="726"/>
      <c r="M79" s="726"/>
      <c r="N79" s="726"/>
      <c r="O79" s="58">
        <f t="shared" si="21"/>
        <v>0</v>
      </c>
      <c r="P79" s="556"/>
      <c r="Q79" s="556"/>
      <c r="R79" s="556"/>
      <c r="S79" s="556"/>
      <c r="T79" s="71"/>
      <c r="U79" s="280"/>
      <c r="V79" s="72"/>
      <c r="W79" s="73"/>
      <c r="X79" s="75"/>
      <c r="Y79" s="1353"/>
      <c r="Z79" s="1380"/>
      <c r="AA79" s="1375"/>
      <c r="AB79" s="852"/>
      <c r="AC79" s="852"/>
      <c r="AD79" s="852"/>
      <c r="AE79" s="852"/>
      <c r="AF79" s="852"/>
      <c r="AG79" s="852"/>
      <c r="AH79" s="852"/>
      <c r="AI79" s="852"/>
      <c r="AJ79" s="852"/>
      <c r="AK79" s="852"/>
      <c r="AL79" s="852"/>
      <c r="AM79" s="852"/>
      <c r="AN79" s="852"/>
      <c r="AO79" s="852"/>
      <c r="AP79" s="852"/>
      <c r="AQ79" s="852"/>
      <c r="AR79" s="852"/>
      <c r="AS79" s="852"/>
      <c r="AT79" s="852"/>
      <c r="AU79" s="852"/>
      <c r="AV79" s="852"/>
      <c r="AW79" s="852"/>
      <c r="AX79" s="852"/>
      <c r="AY79" s="852"/>
      <c r="AZ79" s="852"/>
      <c r="BA79" s="852"/>
      <c r="BB79" s="852"/>
      <c r="BC79" s="852"/>
      <c r="BD79" s="852"/>
      <c r="BE79" s="852"/>
      <c r="BF79" s="852"/>
      <c r="BG79" s="852"/>
      <c r="BH79" s="852"/>
      <c r="BI79" s="852"/>
      <c r="BJ79" s="852"/>
      <c r="BK79" s="852"/>
      <c r="BL79" s="852"/>
      <c r="BM79" s="852"/>
      <c r="BN79" s="852"/>
      <c r="BO79" s="852"/>
      <c r="BP79" s="852"/>
      <c r="BQ79" s="852"/>
      <c r="BR79" s="852"/>
      <c r="BS79" s="852"/>
      <c r="BT79" s="852"/>
      <c r="BU79" s="852"/>
      <c r="BV79" s="852"/>
      <c r="BW79" s="852"/>
      <c r="BX79" s="852"/>
      <c r="BY79" s="852"/>
      <c r="BZ79" s="852"/>
      <c r="CA79" s="852"/>
      <c r="CB79" s="852"/>
      <c r="CC79" s="852"/>
      <c r="CD79" s="852"/>
      <c r="CE79" s="852"/>
      <c r="CF79" s="852"/>
      <c r="CG79" s="852"/>
      <c r="CH79" s="852"/>
    </row>
    <row r="80" spans="1:86" hidden="1" outlineLevel="1">
      <c r="B80" s="332" t="s">
        <v>71</v>
      </c>
      <c r="C80" s="726"/>
      <c r="D80" s="726"/>
      <c r="E80" s="726"/>
      <c r="F80" s="726"/>
      <c r="G80" s="726"/>
      <c r="H80" s="726"/>
      <c r="I80" s="726"/>
      <c r="J80" s="726"/>
      <c r="K80" s="726"/>
      <c r="L80" s="726"/>
      <c r="M80" s="726"/>
      <c r="N80" s="726"/>
      <c r="O80" s="58">
        <f t="shared" si="21"/>
        <v>0</v>
      </c>
      <c r="P80" s="556"/>
      <c r="Q80" s="556"/>
      <c r="R80" s="556"/>
      <c r="S80" s="556"/>
      <c r="T80" s="77"/>
      <c r="U80" s="78"/>
      <c r="V80" s="50"/>
      <c r="Y80" s="1382"/>
      <c r="Z80" s="1383"/>
      <c r="AA80" s="852"/>
      <c r="AB80" s="852"/>
      <c r="AC80" s="852"/>
      <c r="AD80" s="852"/>
      <c r="AE80" s="852"/>
      <c r="AF80" s="852"/>
      <c r="AG80" s="852"/>
      <c r="AH80" s="852"/>
      <c r="AI80" s="852"/>
      <c r="AJ80" s="852"/>
      <c r="AK80" s="852"/>
      <c r="AL80" s="852"/>
      <c r="AM80" s="852"/>
      <c r="AN80" s="852"/>
      <c r="AO80" s="852"/>
      <c r="AP80" s="852"/>
      <c r="AQ80" s="852"/>
      <c r="AR80" s="852"/>
      <c r="AS80" s="852"/>
      <c r="AT80" s="852"/>
      <c r="AU80" s="852"/>
      <c r="AV80" s="852"/>
      <c r="AW80" s="852"/>
      <c r="AX80" s="852"/>
      <c r="AY80" s="852"/>
      <c r="AZ80" s="852"/>
      <c r="BA80" s="852"/>
      <c r="BB80" s="852"/>
      <c r="BC80" s="852"/>
      <c r="BD80" s="852"/>
      <c r="BE80" s="852"/>
      <c r="BF80" s="852"/>
      <c r="BG80" s="852"/>
      <c r="BH80" s="852"/>
      <c r="BI80" s="852"/>
      <c r="BJ80" s="852"/>
      <c r="BK80" s="852"/>
      <c r="BL80" s="852"/>
      <c r="BM80" s="852"/>
      <c r="BN80" s="852"/>
      <c r="BO80" s="852"/>
      <c r="BP80" s="852"/>
      <c r="BQ80" s="852"/>
      <c r="BR80" s="852"/>
      <c r="BS80" s="852"/>
      <c r="BT80" s="852"/>
      <c r="BU80" s="852"/>
      <c r="BV80" s="852"/>
      <c r="BW80" s="852"/>
      <c r="BX80" s="852"/>
      <c r="BY80" s="852"/>
      <c r="BZ80" s="852"/>
      <c r="CA80" s="852"/>
      <c r="CB80" s="852"/>
      <c r="CC80" s="852"/>
      <c r="CD80" s="852"/>
      <c r="CE80" s="852"/>
      <c r="CF80" s="852"/>
      <c r="CG80" s="852"/>
      <c r="CH80" s="852"/>
    </row>
    <row r="81" spans="2:86" hidden="1" outlineLevel="1">
      <c r="B81" s="332" t="s">
        <v>72</v>
      </c>
      <c r="C81" s="726"/>
      <c r="D81" s="726"/>
      <c r="E81" s="726"/>
      <c r="F81" s="726"/>
      <c r="G81" s="726"/>
      <c r="H81" s="726"/>
      <c r="I81" s="726"/>
      <c r="J81" s="726"/>
      <c r="K81" s="726"/>
      <c r="L81" s="726"/>
      <c r="M81" s="726"/>
      <c r="N81" s="726"/>
      <c r="O81" s="58">
        <f t="shared" si="21"/>
        <v>0</v>
      </c>
      <c r="P81" s="556"/>
      <c r="Q81" s="556"/>
      <c r="R81" s="556"/>
      <c r="S81" s="556"/>
      <c r="T81" s="77"/>
      <c r="U81" s="78"/>
      <c r="V81" s="50"/>
      <c r="Y81" s="1382"/>
      <c r="Z81" s="1383"/>
      <c r="AA81" s="852"/>
      <c r="AB81" s="852"/>
      <c r="AC81" s="852"/>
      <c r="AD81" s="852"/>
      <c r="AE81" s="852"/>
      <c r="AF81" s="852"/>
      <c r="AG81" s="852"/>
      <c r="AH81" s="852"/>
      <c r="AI81" s="852"/>
      <c r="AJ81" s="852"/>
      <c r="AK81" s="852"/>
      <c r="AL81" s="852"/>
      <c r="AM81" s="852"/>
      <c r="AN81" s="852"/>
      <c r="AO81" s="852"/>
      <c r="AP81" s="852"/>
      <c r="AQ81" s="852"/>
      <c r="AR81" s="852"/>
      <c r="AS81" s="852"/>
      <c r="AT81" s="852"/>
      <c r="AU81" s="852"/>
      <c r="AV81" s="852"/>
      <c r="AW81" s="852"/>
      <c r="AX81" s="852"/>
      <c r="AY81" s="852"/>
      <c r="AZ81" s="852"/>
      <c r="BA81" s="852"/>
      <c r="BB81" s="852"/>
      <c r="BC81" s="852"/>
      <c r="BD81" s="852"/>
      <c r="BE81" s="852"/>
      <c r="BF81" s="852"/>
      <c r="BG81" s="852"/>
      <c r="BH81" s="852"/>
      <c r="BI81" s="852"/>
      <c r="BJ81" s="852"/>
      <c r="BK81" s="852"/>
      <c r="BL81" s="852"/>
      <c r="BM81" s="852"/>
      <c r="BN81" s="852"/>
      <c r="BO81" s="852"/>
      <c r="BP81" s="852"/>
      <c r="BQ81" s="852"/>
      <c r="BR81" s="852"/>
      <c r="BS81" s="852"/>
      <c r="BT81" s="852"/>
      <c r="BU81" s="852"/>
      <c r="BV81" s="852"/>
      <c r="BW81" s="852"/>
      <c r="BX81" s="852"/>
      <c r="BY81" s="852"/>
      <c r="BZ81" s="852"/>
      <c r="CA81" s="852"/>
      <c r="CB81" s="852"/>
      <c r="CC81" s="852"/>
      <c r="CD81" s="852"/>
      <c r="CE81" s="852"/>
      <c r="CF81" s="852"/>
      <c r="CG81" s="852"/>
      <c r="CH81" s="852"/>
    </row>
    <row r="82" spans="2:86" hidden="1" outlineLevel="1">
      <c r="B82" s="332" t="s">
        <v>73</v>
      </c>
      <c r="C82" s="726"/>
      <c r="D82" s="726"/>
      <c r="E82" s="726"/>
      <c r="F82" s="726"/>
      <c r="G82" s="726"/>
      <c r="H82" s="726"/>
      <c r="I82" s="726"/>
      <c r="J82" s="726"/>
      <c r="K82" s="726"/>
      <c r="L82" s="726"/>
      <c r="M82" s="726"/>
      <c r="N82" s="726"/>
      <c r="O82" s="58">
        <f t="shared" si="21"/>
        <v>0</v>
      </c>
      <c r="P82" s="556"/>
      <c r="Q82" s="556"/>
      <c r="R82" s="556"/>
      <c r="S82" s="556"/>
      <c r="T82" s="77"/>
      <c r="U82" s="78"/>
      <c r="V82" s="50"/>
      <c r="Y82" s="1382"/>
      <c r="Z82" s="1383"/>
      <c r="AA82" s="852"/>
      <c r="AB82" s="852"/>
      <c r="AC82" s="852"/>
      <c r="AD82" s="852"/>
      <c r="AE82" s="852"/>
      <c r="AF82" s="852"/>
      <c r="AG82" s="852"/>
      <c r="AH82" s="852"/>
      <c r="AI82" s="852"/>
      <c r="AJ82" s="852"/>
      <c r="AK82" s="852"/>
      <c r="AL82" s="852"/>
      <c r="AM82" s="852"/>
      <c r="AN82" s="852"/>
      <c r="AO82" s="852"/>
      <c r="AP82" s="852"/>
      <c r="AQ82" s="852"/>
      <c r="AR82" s="852"/>
      <c r="AS82" s="852"/>
      <c r="AT82" s="852"/>
      <c r="AU82" s="852"/>
      <c r="AV82" s="852"/>
      <c r="AW82" s="852"/>
      <c r="AX82" s="852"/>
      <c r="AY82" s="852"/>
      <c r="AZ82" s="852"/>
      <c r="BA82" s="852"/>
      <c r="BB82" s="852"/>
      <c r="BC82" s="852"/>
      <c r="BD82" s="852"/>
      <c r="BE82" s="852"/>
      <c r="BF82" s="852"/>
      <c r="BG82" s="852"/>
      <c r="BH82" s="852"/>
      <c r="BI82" s="852"/>
      <c r="BJ82" s="852"/>
      <c r="BK82" s="852"/>
      <c r="BL82" s="852"/>
      <c r="BM82" s="852"/>
      <c r="BN82" s="852"/>
      <c r="BO82" s="852"/>
      <c r="BP82" s="852"/>
      <c r="BQ82" s="852"/>
      <c r="BR82" s="852"/>
      <c r="BS82" s="852"/>
      <c r="BT82" s="852"/>
      <c r="BU82" s="852"/>
      <c r="BV82" s="852"/>
      <c r="BW82" s="852"/>
      <c r="BX82" s="852"/>
      <c r="BY82" s="852"/>
      <c r="BZ82" s="852"/>
      <c r="CA82" s="852"/>
      <c r="CB82" s="852"/>
      <c r="CC82" s="852"/>
      <c r="CD82" s="852"/>
      <c r="CE82" s="852"/>
      <c r="CF82" s="852"/>
      <c r="CG82" s="852"/>
      <c r="CH82" s="852"/>
    </row>
    <row r="83" spans="2:86" hidden="1" outlineLevel="1">
      <c r="B83" s="332" t="s">
        <v>74</v>
      </c>
      <c r="C83" s="726"/>
      <c r="D83" s="726"/>
      <c r="E83" s="726"/>
      <c r="F83" s="726"/>
      <c r="G83" s="726"/>
      <c r="H83" s="726"/>
      <c r="I83" s="726"/>
      <c r="J83" s="726"/>
      <c r="K83" s="726"/>
      <c r="L83" s="726"/>
      <c r="M83" s="726"/>
      <c r="N83" s="726"/>
      <c r="O83" s="58">
        <f t="shared" si="21"/>
        <v>0</v>
      </c>
      <c r="P83" s="556"/>
      <c r="Q83" s="556"/>
      <c r="R83" s="556"/>
      <c r="S83" s="556"/>
      <c r="T83" s="77"/>
      <c r="U83" s="78"/>
      <c r="V83" s="50"/>
      <c r="Y83" s="1382"/>
      <c r="Z83" s="1383"/>
      <c r="AA83" s="852"/>
      <c r="AB83" s="852"/>
      <c r="AC83" s="852"/>
      <c r="AD83" s="852"/>
      <c r="AE83" s="852"/>
      <c r="AF83" s="852"/>
      <c r="AG83" s="852"/>
      <c r="AH83" s="852"/>
      <c r="AI83" s="852"/>
      <c r="AJ83" s="852"/>
      <c r="AK83" s="852"/>
      <c r="AL83" s="852"/>
      <c r="AM83" s="852"/>
      <c r="AN83" s="852"/>
      <c r="AO83" s="852"/>
      <c r="AP83" s="852"/>
      <c r="AQ83" s="852"/>
      <c r="AR83" s="852"/>
      <c r="AS83" s="852"/>
      <c r="AT83" s="852"/>
      <c r="AU83" s="852"/>
      <c r="AV83" s="852"/>
      <c r="AW83" s="852"/>
      <c r="AX83" s="852"/>
      <c r="AY83" s="852"/>
      <c r="AZ83" s="852"/>
      <c r="BA83" s="852"/>
      <c r="BB83" s="852"/>
      <c r="BC83" s="852"/>
      <c r="BD83" s="852"/>
      <c r="BE83" s="852"/>
      <c r="BF83" s="852"/>
      <c r="BG83" s="852"/>
      <c r="BH83" s="852"/>
      <c r="BI83" s="852"/>
      <c r="BJ83" s="852"/>
      <c r="BK83" s="852"/>
      <c r="BL83" s="852"/>
      <c r="BM83" s="852"/>
      <c r="BN83" s="852"/>
      <c r="BO83" s="852"/>
      <c r="BP83" s="852"/>
      <c r="BQ83" s="852"/>
      <c r="BR83" s="852"/>
      <c r="BS83" s="852"/>
      <c r="BT83" s="852"/>
      <c r="BU83" s="852"/>
      <c r="BV83" s="852"/>
      <c r="BW83" s="852"/>
      <c r="BX83" s="852"/>
      <c r="BY83" s="852"/>
      <c r="BZ83" s="852"/>
      <c r="CA83" s="852"/>
      <c r="CB83" s="852"/>
      <c r="CC83" s="852"/>
      <c r="CD83" s="852"/>
      <c r="CE83" s="852"/>
      <c r="CF83" s="852"/>
      <c r="CG83" s="852"/>
      <c r="CH83" s="852"/>
    </row>
    <row r="84" spans="2:86" hidden="1" outlineLevel="1">
      <c r="B84" s="332" t="s">
        <v>75</v>
      </c>
      <c r="C84" s="726"/>
      <c r="D84" s="726"/>
      <c r="E84" s="726"/>
      <c r="F84" s="726"/>
      <c r="G84" s="726"/>
      <c r="H84" s="726"/>
      <c r="I84" s="726"/>
      <c r="J84" s="726"/>
      <c r="K84" s="726"/>
      <c r="L84" s="726"/>
      <c r="M84" s="726"/>
      <c r="N84" s="726"/>
      <c r="O84" s="58">
        <f t="shared" si="21"/>
        <v>0</v>
      </c>
      <c r="P84" s="556"/>
      <c r="Q84" s="556"/>
      <c r="R84" s="556"/>
      <c r="S84" s="556"/>
      <c r="T84" s="77"/>
      <c r="U84" s="78"/>
      <c r="V84" s="50"/>
      <c r="Y84" s="1382"/>
      <c r="Z84" s="1383"/>
      <c r="AA84" s="852"/>
      <c r="AB84" s="852"/>
      <c r="AC84" s="852"/>
      <c r="AD84" s="852"/>
      <c r="AE84" s="852"/>
      <c r="AF84" s="852"/>
      <c r="AG84" s="852"/>
      <c r="AH84" s="852"/>
      <c r="AI84" s="852"/>
      <c r="AJ84" s="852"/>
      <c r="AK84" s="852"/>
      <c r="AL84" s="852"/>
      <c r="AM84" s="852"/>
      <c r="AN84" s="852"/>
      <c r="AO84" s="852"/>
      <c r="AP84" s="852"/>
      <c r="AQ84" s="852"/>
      <c r="AR84" s="852"/>
      <c r="AS84" s="852"/>
      <c r="AT84" s="852"/>
      <c r="AU84" s="852"/>
      <c r="AV84" s="852"/>
      <c r="AW84" s="852"/>
      <c r="AX84" s="852"/>
      <c r="AY84" s="852"/>
      <c r="AZ84" s="852"/>
      <c r="BA84" s="852"/>
      <c r="BB84" s="852"/>
      <c r="BC84" s="852"/>
      <c r="BD84" s="852"/>
      <c r="BE84" s="852"/>
      <c r="BF84" s="852"/>
      <c r="BG84" s="852"/>
      <c r="BH84" s="852"/>
      <c r="BI84" s="852"/>
      <c r="BJ84" s="852"/>
      <c r="BK84" s="852"/>
      <c r="BL84" s="852"/>
      <c r="BM84" s="852"/>
      <c r="BN84" s="852"/>
      <c r="BO84" s="852"/>
      <c r="BP84" s="852"/>
      <c r="BQ84" s="852"/>
      <c r="BR84" s="852"/>
      <c r="BS84" s="852"/>
      <c r="BT84" s="852"/>
      <c r="BU84" s="852"/>
      <c r="BV84" s="852"/>
      <c r="BW84" s="852"/>
      <c r="BX84" s="852"/>
      <c r="BY84" s="852"/>
      <c r="BZ84" s="852"/>
      <c r="CA84" s="852"/>
      <c r="CB84" s="852"/>
      <c r="CC84" s="852"/>
      <c r="CD84" s="852"/>
      <c r="CE84" s="852"/>
      <c r="CF84" s="852"/>
      <c r="CG84" s="852"/>
      <c r="CH84" s="852"/>
    </row>
    <row r="85" spans="2:86" hidden="1" outlineLevel="1">
      <c r="B85" s="674" t="s">
        <v>424</v>
      </c>
      <c r="C85" s="726"/>
      <c r="D85" s="726"/>
      <c r="E85" s="726"/>
      <c r="F85" s="726"/>
      <c r="G85" s="726"/>
      <c r="H85" s="726"/>
      <c r="I85" s="726"/>
      <c r="J85" s="726"/>
      <c r="K85" s="726"/>
      <c r="L85" s="726"/>
      <c r="M85" s="726"/>
      <c r="N85" s="726"/>
      <c r="O85" s="58">
        <f t="shared" si="21"/>
        <v>0</v>
      </c>
      <c r="P85" s="556"/>
      <c r="Q85" s="556"/>
      <c r="R85" s="556"/>
      <c r="S85" s="556"/>
      <c r="T85" s="77"/>
      <c r="U85" s="78"/>
      <c r="V85" s="50"/>
      <c r="Y85" s="1382"/>
      <c r="Z85" s="1383"/>
      <c r="AA85" s="852"/>
      <c r="AB85" s="852"/>
      <c r="AC85" s="852"/>
      <c r="AD85" s="852"/>
      <c r="AE85" s="852"/>
      <c r="AF85" s="852"/>
      <c r="AG85" s="852"/>
      <c r="AH85" s="852"/>
      <c r="AI85" s="852"/>
      <c r="AJ85" s="852"/>
      <c r="AK85" s="852"/>
      <c r="AL85" s="852"/>
      <c r="AM85" s="852"/>
      <c r="AN85" s="852"/>
      <c r="AO85" s="852"/>
      <c r="AP85" s="852"/>
      <c r="AQ85" s="852"/>
      <c r="AR85" s="852"/>
      <c r="AS85" s="852"/>
      <c r="AT85" s="852"/>
      <c r="AU85" s="852"/>
      <c r="AV85" s="852"/>
      <c r="AW85" s="852"/>
      <c r="AX85" s="852"/>
      <c r="AY85" s="852"/>
      <c r="AZ85" s="852"/>
      <c r="BA85" s="852"/>
      <c r="BB85" s="852"/>
      <c r="BC85" s="852"/>
      <c r="BD85" s="852"/>
      <c r="BE85" s="852"/>
      <c r="BF85" s="852"/>
      <c r="BG85" s="852"/>
      <c r="BH85" s="852"/>
      <c r="BI85" s="852"/>
      <c r="BJ85" s="852"/>
      <c r="BK85" s="852"/>
      <c r="BL85" s="852"/>
      <c r="BM85" s="852"/>
      <c r="BN85" s="852"/>
      <c r="BO85" s="852"/>
      <c r="BP85" s="852"/>
      <c r="BQ85" s="852"/>
      <c r="BR85" s="852"/>
      <c r="BS85" s="852"/>
      <c r="BT85" s="852"/>
      <c r="BU85" s="852"/>
      <c r="BV85" s="852"/>
      <c r="BW85" s="852"/>
      <c r="BX85" s="852"/>
      <c r="BY85" s="852"/>
      <c r="BZ85" s="852"/>
      <c r="CA85" s="852"/>
      <c r="CB85" s="852"/>
      <c r="CC85" s="852"/>
      <c r="CD85" s="852"/>
      <c r="CE85" s="852"/>
      <c r="CF85" s="852"/>
      <c r="CG85" s="852"/>
      <c r="CH85" s="852"/>
    </row>
    <row r="86" spans="2:86" hidden="1" outlineLevel="1">
      <c r="B86" s="332" t="s">
        <v>76</v>
      </c>
      <c r="C86" s="726"/>
      <c r="D86" s="726"/>
      <c r="E86" s="726"/>
      <c r="F86" s="726"/>
      <c r="G86" s="726"/>
      <c r="H86" s="726"/>
      <c r="I86" s="726"/>
      <c r="J86" s="726"/>
      <c r="K86" s="726"/>
      <c r="L86" s="726"/>
      <c r="M86" s="726"/>
      <c r="N86" s="726"/>
      <c r="O86" s="58">
        <f t="shared" si="21"/>
        <v>0</v>
      </c>
      <c r="P86" s="556"/>
      <c r="Q86" s="556"/>
      <c r="R86" s="556"/>
      <c r="S86" s="556"/>
      <c r="T86" s="77"/>
      <c r="U86" s="78"/>
      <c r="V86" s="50"/>
      <c r="Y86" s="1382"/>
      <c r="Z86" s="1383"/>
      <c r="AA86" s="852"/>
      <c r="AB86" s="852"/>
      <c r="AC86" s="852"/>
      <c r="AD86" s="852"/>
      <c r="AE86" s="852"/>
      <c r="AF86" s="852"/>
      <c r="AG86" s="852"/>
      <c r="AH86" s="852"/>
      <c r="AI86" s="852"/>
      <c r="AJ86" s="852"/>
      <c r="AK86" s="852"/>
      <c r="AL86" s="852"/>
      <c r="AM86" s="852"/>
      <c r="AN86" s="852"/>
      <c r="AO86" s="852"/>
      <c r="AP86" s="852"/>
      <c r="AQ86" s="852"/>
      <c r="AR86" s="852"/>
      <c r="AS86" s="852"/>
      <c r="AT86" s="852"/>
      <c r="AU86" s="852"/>
      <c r="AV86" s="852"/>
      <c r="AW86" s="852"/>
      <c r="AX86" s="852"/>
      <c r="AY86" s="852"/>
      <c r="AZ86" s="852"/>
      <c r="BA86" s="852"/>
      <c r="BB86" s="852"/>
      <c r="BC86" s="852"/>
      <c r="BD86" s="852"/>
      <c r="BE86" s="852"/>
      <c r="BF86" s="852"/>
      <c r="BG86" s="852"/>
      <c r="BH86" s="852"/>
      <c r="BI86" s="852"/>
      <c r="BJ86" s="852"/>
      <c r="BK86" s="852"/>
      <c r="BL86" s="852"/>
      <c r="BM86" s="852"/>
      <c r="BN86" s="852"/>
      <c r="BO86" s="852"/>
      <c r="BP86" s="852"/>
      <c r="BQ86" s="852"/>
      <c r="BR86" s="852"/>
      <c r="BS86" s="852"/>
      <c r="BT86" s="852"/>
      <c r="BU86" s="852"/>
      <c r="BV86" s="852"/>
      <c r="BW86" s="852"/>
      <c r="BX86" s="852"/>
      <c r="BY86" s="852"/>
      <c r="BZ86" s="852"/>
      <c r="CA86" s="852"/>
      <c r="CB86" s="852"/>
      <c r="CC86" s="852"/>
      <c r="CD86" s="852"/>
      <c r="CE86" s="852"/>
      <c r="CF86" s="852"/>
      <c r="CG86" s="852"/>
      <c r="CH86" s="852"/>
    </row>
    <row r="87" spans="2:86" hidden="1" outlineLevel="1">
      <c r="B87" s="333" t="s">
        <v>77</v>
      </c>
      <c r="C87" s="726"/>
      <c r="D87" s="726"/>
      <c r="E87" s="726"/>
      <c r="F87" s="726"/>
      <c r="G87" s="726"/>
      <c r="H87" s="726"/>
      <c r="I87" s="726"/>
      <c r="J87" s="726"/>
      <c r="K87" s="726"/>
      <c r="L87" s="726"/>
      <c r="M87" s="726"/>
      <c r="N87" s="726"/>
      <c r="O87" s="58">
        <f t="shared" si="21"/>
        <v>0</v>
      </c>
      <c r="P87" s="556"/>
      <c r="Q87" s="556"/>
      <c r="R87" s="556"/>
      <c r="S87" s="556"/>
      <c r="T87" s="71"/>
      <c r="U87" s="278"/>
      <c r="V87" s="50"/>
      <c r="Y87" s="1382"/>
      <c r="Z87" s="1383"/>
      <c r="AA87" s="852"/>
      <c r="AB87" s="852"/>
      <c r="AC87" s="852"/>
      <c r="AD87" s="852"/>
      <c r="AE87" s="852"/>
      <c r="AF87" s="852"/>
      <c r="AG87" s="852"/>
      <c r="AH87" s="852"/>
      <c r="AI87" s="852"/>
      <c r="AJ87" s="852"/>
      <c r="AK87" s="852"/>
      <c r="AL87" s="852"/>
      <c r="AM87" s="852"/>
      <c r="AN87" s="852"/>
      <c r="AO87" s="852"/>
      <c r="AP87" s="852"/>
      <c r="AQ87" s="852"/>
      <c r="AR87" s="852"/>
      <c r="AS87" s="852"/>
      <c r="AT87" s="852"/>
      <c r="AU87" s="852"/>
      <c r="AV87" s="852"/>
      <c r="AW87" s="852"/>
      <c r="AX87" s="852"/>
      <c r="AY87" s="852"/>
      <c r="AZ87" s="852"/>
      <c r="BA87" s="852"/>
      <c r="BB87" s="852"/>
      <c r="BC87" s="852"/>
      <c r="BD87" s="852"/>
      <c r="BE87" s="852"/>
      <c r="BF87" s="852"/>
      <c r="BG87" s="852"/>
      <c r="BH87" s="852"/>
      <c r="BI87" s="852"/>
      <c r="BJ87" s="852"/>
      <c r="BK87" s="852"/>
      <c r="BL87" s="852"/>
      <c r="BM87" s="852"/>
      <c r="BN87" s="852"/>
      <c r="BO87" s="852"/>
      <c r="BP87" s="852"/>
      <c r="BQ87" s="852"/>
      <c r="BR87" s="852"/>
      <c r="BS87" s="852"/>
      <c r="BT87" s="852"/>
      <c r="BU87" s="852"/>
      <c r="BV87" s="852"/>
      <c r="BW87" s="852"/>
      <c r="BX87" s="852"/>
      <c r="BY87" s="852"/>
      <c r="BZ87" s="852"/>
      <c r="CA87" s="852"/>
      <c r="CB87" s="852"/>
      <c r="CC87" s="852"/>
      <c r="CD87" s="852"/>
      <c r="CE87" s="852"/>
      <c r="CF87" s="852"/>
      <c r="CG87" s="852"/>
      <c r="CH87" s="852"/>
    </row>
    <row r="88" spans="2:86" hidden="1" outlineLevel="1">
      <c r="B88" s="705" t="s">
        <v>432</v>
      </c>
      <c r="C88" s="726"/>
      <c r="D88" s="726"/>
      <c r="E88" s="726"/>
      <c r="F88" s="726"/>
      <c r="G88" s="726"/>
      <c r="H88" s="726"/>
      <c r="I88" s="726"/>
      <c r="J88" s="793"/>
      <c r="K88" s="793"/>
      <c r="L88" s="793"/>
      <c r="M88" s="793"/>
      <c r="N88" s="793"/>
      <c r="O88" s="58">
        <f t="shared" si="21"/>
        <v>0</v>
      </c>
      <c r="P88" s="556"/>
      <c r="Q88" s="556"/>
      <c r="R88" s="556"/>
      <c r="S88" s="556"/>
      <c r="T88" s="71"/>
      <c r="U88" s="278"/>
      <c r="V88" s="50"/>
      <c r="Y88" s="1382"/>
      <c r="Z88" s="1383"/>
      <c r="AA88" s="852"/>
      <c r="AB88" s="852"/>
      <c r="AC88" s="852"/>
      <c r="AD88" s="852"/>
      <c r="AE88" s="852"/>
      <c r="AF88" s="852"/>
      <c r="AG88" s="852"/>
      <c r="AH88" s="852"/>
      <c r="AI88" s="852"/>
      <c r="AJ88" s="852"/>
      <c r="AK88" s="852"/>
      <c r="AL88" s="852"/>
      <c r="AM88" s="852"/>
      <c r="AN88" s="852"/>
      <c r="AO88" s="852"/>
      <c r="AP88" s="852"/>
      <c r="AQ88" s="852"/>
      <c r="AR88" s="852"/>
      <c r="AS88" s="852"/>
      <c r="AT88" s="852"/>
      <c r="AU88" s="852"/>
      <c r="AV88" s="852"/>
      <c r="AW88" s="852"/>
      <c r="AX88" s="852"/>
      <c r="AY88" s="852"/>
      <c r="AZ88" s="852"/>
      <c r="BA88" s="852"/>
      <c r="BB88" s="852"/>
      <c r="BC88" s="852"/>
      <c r="BD88" s="852"/>
      <c r="BE88" s="852"/>
      <c r="BF88" s="852"/>
      <c r="BG88" s="852"/>
      <c r="BH88" s="852"/>
      <c r="BI88" s="852"/>
      <c r="BJ88" s="852"/>
      <c r="BK88" s="852"/>
      <c r="BL88" s="852"/>
      <c r="BM88" s="852"/>
      <c r="BN88" s="852"/>
      <c r="BO88" s="852"/>
      <c r="BP88" s="852"/>
      <c r="BQ88" s="852"/>
      <c r="BR88" s="852"/>
      <c r="BS88" s="852"/>
      <c r="BT88" s="852"/>
      <c r="BU88" s="852"/>
      <c r="BV88" s="852"/>
      <c r="BW88" s="852"/>
      <c r="BX88" s="852"/>
      <c r="BY88" s="852"/>
      <c r="BZ88" s="852"/>
      <c r="CA88" s="852"/>
      <c r="CB88" s="852"/>
      <c r="CC88" s="852"/>
      <c r="CD88" s="852"/>
      <c r="CE88" s="852"/>
      <c r="CF88" s="852"/>
      <c r="CG88" s="852"/>
      <c r="CH88" s="852"/>
    </row>
    <row r="89" spans="2:86" ht="15.75" hidden="1" outlineLevel="1">
      <c r="B89" s="38" t="s">
        <v>78</v>
      </c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79"/>
      <c r="P89" s="556"/>
      <c r="Q89" s="556"/>
      <c r="R89" s="556"/>
      <c r="S89" s="556"/>
      <c r="T89" s="50"/>
      <c r="U89" s="281"/>
      <c r="V89" s="50"/>
      <c r="Y89" s="1382"/>
      <c r="Z89" s="1383"/>
      <c r="AA89" s="852"/>
      <c r="AB89" s="852"/>
      <c r="AC89" s="852"/>
      <c r="AD89" s="852"/>
      <c r="AE89" s="852"/>
      <c r="AF89" s="852"/>
      <c r="AG89" s="852"/>
      <c r="AH89" s="852"/>
      <c r="AI89" s="852"/>
      <c r="AJ89" s="852"/>
      <c r="AK89" s="852"/>
      <c r="AL89" s="852"/>
      <c r="AM89" s="852"/>
      <c r="AN89" s="852"/>
      <c r="AO89" s="852"/>
      <c r="AP89" s="852"/>
      <c r="AQ89" s="852"/>
      <c r="AR89" s="852"/>
      <c r="AS89" s="852"/>
      <c r="AT89" s="852"/>
      <c r="AU89" s="852"/>
      <c r="AV89" s="852"/>
      <c r="AW89" s="852"/>
      <c r="AX89" s="852"/>
      <c r="AY89" s="852"/>
      <c r="AZ89" s="852"/>
      <c r="BA89" s="852"/>
      <c r="BB89" s="852"/>
      <c r="BC89" s="852"/>
      <c r="BD89" s="852"/>
      <c r="BE89" s="852"/>
      <c r="BF89" s="852"/>
      <c r="BG89" s="852"/>
      <c r="BH89" s="852"/>
      <c r="BI89" s="852"/>
      <c r="BJ89" s="852"/>
      <c r="BK89" s="852"/>
      <c r="BL89" s="852"/>
      <c r="BM89" s="852"/>
      <c r="BN89" s="852"/>
      <c r="BO89" s="852"/>
      <c r="BP89" s="852"/>
      <c r="BQ89" s="852"/>
      <c r="BR89" s="852"/>
      <c r="BS89" s="852"/>
      <c r="BT89" s="852"/>
      <c r="BU89" s="852"/>
      <c r="BV89" s="852"/>
      <c r="BW89" s="852"/>
      <c r="BX89" s="852"/>
      <c r="BY89" s="852"/>
      <c r="BZ89" s="852"/>
      <c r="CA89" s="852"/>
      <c r="CB89" s="852"/>
      <c r="CC89" s="852"/>
      <c r="CD89" s="852"/>
      <c r="CE89" s="852"/>
      <c r="CF89" s="852"/>
      <c r="CG89" s="852"/>
      <c r="CH89" s="852"/>
    </row>
    <row r="90" spans="2:86" ht="15.75" outlineLevel="1">
      <c r="B90" s="38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79"/>
      <c r="P90" s="556"/>
      <c r="Q90" s="556"/>
      <c r="R90" s="556"/>
      <c r="S90" s="556"/>
      <c r="T90" s="50"/>
      <c r="U90" s="281"/>
      <c r="V90" s="50"/>
      <c r="Y90" s="1382"/>
      <c r="Z90" s="1383"/>
      <c r="AA90" s="852"/>
      <c r="AB90" s="852"/>
      <c r="AC90" s="852"/>
      <c r="AD90" s="852"/>
      <c r="AE90" s="852"/>
      <c r="AF90" s="852"/>
      <c r="AG90" s="852"/>
      <c r="AH90" s="852"/>
      <c r="AI90" s="852"/>
      <c r="AJ90" s="852"/>
      <c r="AK90" s="852"/>
      <c r="AL90" s="852"/>
      <c r="AM90" s="852"/>
      <c r="AN90" s="852"/>
      <c r="AO90" s="852"/>
      <c r="AP90" s="852"/>
      <c r="AQ90" s="852"/>
      <c r="AR90" s="852"/>
      <c r="AS90" s="852"/>
      <c r="AT90" s="852"/>
      <c r="AU90" s="852"/>
      <c r="AV90" s="852"/>
      <c r="AW90" s="852"/>
      <c r="AX90" s="852"/>
      <c r="AY90" s="852"/>
      <c r="AZ90" s="852"/>
      <c r="BA90" s="852"/>
      <c r="BB90" s="852"/>
      <c r="BC90" s="852"/>
      <c r="BD90" s="852"/>
      <c r="BE90" s="852"/>
      <c r="BF90" s="852"/>
      <c r="BG90" s="852"/>
      <c r="BH90" s="852"/>
      <c r="BI90" s="852"/>
      <c r="BJ90" s="852"/>
      <c r="BK90" s="852"/>
      <c r="BL90" s="852"/>
      <c r="BM90" s="852"/>
      <c r="BN90" s="852"/>
      <c r="BO90" s="852"/>
      <c r="BP90" s="852"/>
      <c r="BQ90" s="852"/>
      <c r="BR90" s="852"/>
      <c r="BS90" s="852"/>
      <c r="BT90" s="852"/>
      <c r="BU90" s="852"/>
      <c r="BV90" s="852"/>
      <c r="BW90" s="852"/>
      <c r="BX90" s="852"/>
      <c r="BY90" s="852"/>
      <c r="BZ90" s="852"/>
      <c r="CA90" s="852"/>
      <c r="CB90" s="852"/>
      <c r="CC90" s="852"/>
      <c r="CD90" s="852"/>
      <c r="CE90" s="852"/>
      <c r="CF90" s="852"/>
      <c r="CG90" s="852"/>
      <c r="CH90" s="852"/>
    </row>
    <row r="91" spans="2:86" ht="15.75" outlineLevel="1">
      <c r="B91" s="38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1178"/>
      <c r="O91" s="79"/>
      <c r="P91" s="556"/>
      <c r="Q91" s="556"/>
      <c r="R91" s="556"/>
      <c r="S91" s="556"/>
      <c r="T91" s="50"/>
      <c r="U91" s="281"/>
      <c r="V91" s="50"/>
      <c r="Y91" s="1382"/>
      <c r="Z91" s="1383"/>
      <c r="AA91" s="852"/>
      <c r="AB91" s="852"/>
      <c r="AC91" s="852"/>
      <c r="AD91" s="852"/>
      <c r="AE91" s="852"/>
      <c r="AF91" s="852"/>
      <c r="AG91" s="852"/>
      <c r="AH91" s="852"/>
      <c r="AI91" s="852"/>
      <c r="AJ91" s="852"/>
      <c r="AK91" s="852"/>
      <c r="AL91" s="852"/>
      <c r="AM91" s="852"/>
      <c r="AN91" s="852"/>
      <c r="AO91" s="852"/>
      <c r="AP91" s="852"/>
      <c r="AQ91" s="852"/>
      <c r="AR91" s="852"/>
      <c r="AS91" s="852"/>
      <c r="AT91" s="852"/>
      <c r="AU91" s="852"/>
      <c r="AV91" s="852"/>
      <c r="AW91" s="852"/>
      <c r="AX91" s="852"/>
      <c r="AY91" s="852"/>
      <c r="AZ91" s="852"/>
      <c r="BA91" s="852"/>
      <c r="BB91" s="852"/>
      <c r="BC91" s="852"/>
      <c r="BD91" s="852"/>
      <c r="BE91" s="852"/>
      <c r="BF91" s="852"/>
      <c r="BG91" s="852"/>
      <c r="BH91" s="852"/>
      <c r="BI91" s="852"/>
      <c r="BJ91" s="852"/>
      <c r="BK91" s="852"/>
      <c r="BL91" s="852"/>
      <c r="BM91" s="852"/>
      <c r="BN91" s="852"/>
      <c r="BO91" s="852"/>
      <c r="BP91" s="852"/>
      <c r="BQ91" s="852"/>
      <c r="BR91" s="852"/>
      <c r="BS91" s="852"/>
      <c r="BT91" s="852"/>
      <c r="BU91" s="852"/>
      <c r="BV91" s="852"/>
      <c r="BW91" s="852"/>
      <c r="BX91" s="852"/>
      <c r="BY91" s="852"/>
      <c r="BZ91" s="852"/>
      <c r="CA91" s="852"/>
      <c r="CB91" s="852"/>
      <c r="CC91" s="852"/>
      <c r="CD91" s="852"/>
      <c r="CE91" s="852"/>
      <c r="CF91" s="852"/>
      <c r="CG91" s="852"/>
      <c r="CH91" s="852"/>
    </row>
    <row r="92" spans="2:86" ht="15.75" outlineLevel="1">
      <c r="B92" s="38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79"/>
      <c r="P92" s="556"/>
      <c r="Q92" s="556"/>
      <c r="R92" s="556"/>
      <c r="S92" s="556"/>
      <c r="T92" s="50"/>
      <c r="U92" s="281"/>
      <c r="V92" s="50"/>
      <c r="Y92" s="1382"/>
      <c r="Z92" s="1383"/>
      <c r="AA92" s="852"/>
      <c r="AB92" s="852"/>
      <c r="AC92" s="852"/>
      <c r="AD92" s="852"/>
      <c r="AE92" s="852"/>
      <c r="AF92" s="852"/>
      <c r="AG92" s="852"/>
      <c r="AH92" s="852"/>
      <c r="AI92" s="852"/>
      <c r="AJ92" s="852"/>
      <c r="AK92" s="852"/>
      <c r="AL92" s="852"/>
      <c r="AM92" s="852"/>
      <c r="AN92" s="852"/>
      <c r="AO92" s="852"/>
      <c r="AP92" s="852"/>
      <c r="AQ92" s="852"/>
      <c r="AR92" s="852"/>
      <c r="AS92" s="852"/>
      <c r="AT92" s="852"/>
      <c r="AU92" s="852"/>
      <c r="AV92" s="852"/>
      <c r="AW92" s="852"/>
      <c r="AX92" s="852"/>
      <c r="AY92" s="852"/>
      <c r="AZ92" s="852"/>
      <c r="BA92" s="852"/>
      <c r="BB92" s="852"/>
      <c r="BC92" s="852"/>
      <c r="BD92" s="852"/>
      <c r="BE92" s="852"/>
      <c r="BF92" s="852"/>
      <c r="BG92" s="852"/>
      <c r="BH92" s="852"/>
      <c r="BI92" s="852"/>
      <c r="BJ92" s="852"/>
      <c r="BK92" s="852"/>
      <c r="BL92" s="852"/>
      <c r="BM92" s="852"/>
      <c r="BN92" s="852"/>
      <c r="BO92" s="852"/>
      <c r="BP92" s="852"/>
      <c r="BQ92" s="852"/>
      <c r="BR92" s="852"/>
      <c r="BS92" s="852"/>
      <c r="BT92" s="852"/>
      <c r="BU92" s="852"/>
      <c r="BV92" s="852"/>
      <c r="BW92" s="852"/>
      <c r="BX92" s="852"/>
      <c r="BY92" s="852"/>
      <c r="BZ92" s="852"/>
      <c r="CA92" s="852"/>
      <c r="CB92" s="852"/>
      <c r="CC92" s="852"/>
      <c r="CD92" s="852"/>
      <c r="CE92" s="852"/>
      <c r="CF92" s="852"/>
      <c r="CG92" s="852"/>
      <c r="CH92" s="852"/>
    </row>
    <row r="93" spans="2:86" ht="15.75" outlineLevel="1">
      <c r="B93" s="38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79"/>
      <c r="P93" s="556"/>
      <c r="Q93" s="556"/>
      <c r="R93" s="556"/>
      <c r="S93" s="556"/>
      <c r="T93" s="50"/>
      <c r="U93" s="281"/>
      <c r="V93" s="50"/>
      <c r="Y93" s="1382"/>
      <c r="Z93" s="1383"/>
      <c r="AA93" s="852"/>
      <c r="AB93" s="852"/>
      <c r="AC93" s="852"/>
      <c r="AD93" s="852"/>
      <c r="AE93" s="852"/>
      <c r="AF93" s="852"/>
      <c r="AG93" s="852"/>
      <c r="AH93" s="852"/>
      <c r="AI93" s="852"/>
      <c r="AJ93" s="852"/>
      <c r="AK93" s="852"/>
      <c r="AL93" s="852"/>
      <c r="AM93" s="852"/>
      <c r="AN93" s="852"/>
      <c r="AO93" s="852"/>
      <c r="AP93" s="852"/>
      <c r="AQ93" s="852"/>
      <c r="AR93" s="852"/>
      <c r="AS93" s="852"/>
      <c r="AT93" s="852"/>
      <c r="AU93" s="852"/>
      <c r="AV93" s="852"/>
      <c r="AW93" s="852"/>
      <c r="AX93" s="852"/>
      <c r="AY93" s="852"/>
      <c r="AZ93" s="852"/>
      <c r="BA93" s="852"/>
      <c r="BB93" s="852"/>
      <c r="BC93" s="852"/>
      <c r="BD93" s="852"/>
      <c r="BE93" s="852"/>
      <c r="BF93" s="852"/>
      <c r="BG93" s="852"/>
      <c r="BH93" s="852"/>
      <c r="BI93" s="852"/>
      <c r="BJ93" s="852"/>
      <c r="BK93" s="852"/>
      <c r="BL93" s="852"/>
      <c r="BM93" s="852"/>
      <c r="BN93" s="852"/>
      <c r="BO93" s="852"/>
      <c r="BP93" s="852"/>
      <c r="BQ93" s="852"/>
      <c r="BR93" s="852"/>
      <c r="BS93" s="852"/>
      <c r="BT93" s="852"/>
      <c r="BU93" s="852"/>
      <c r="BV93" s="852"/>
      <c r="BW93" s="852"/>
      <c r="BX93" s="852"/>
      <c r="BY93" s="852"/>
      <c r="BZ93" s="852"/>
      <c r="CA93" s="852"/>
      <c r="CB93" s="852"/>
      <c r="CC93" s="852"/>
      <c r="CD93" s="852"/>
      <c r="CE93" s="852"/>
      <c r="CF93" s="852"/>
      <c r="CG93" s="852"/>
      <c r="CH93" s="852"/>
    </row>
    <row r="94" spans="2:86" ht="15.75" outlineLevel="1">
      <c r="B94" s="38"/>
      <c r="C94" s="50"/>
      <c r="D94" s="50"/>
      <c r="E94" s="50"/>
      <c r="F94" s="50"/>
      <c r="G94" s="50"/>
      <c r="H94" s="50"/>
      <c r="I94" s="388"/>
      <c r="J94" s="50"/>
      <c r="K94" s="50"/>
      <c r="L94" s="50"/>
      <c r="M94" s="50"/>
      <c r="N94" s="50"/>
      <c r="O94" s="79"/>
      <c r="P94" s="79"/>
      <c r="Q94" s="79"/>
      <c r="R94" s="79"/>
      <c r="S94" s="79"/>
      <c r="T94" s="50"/>
      <c r="U94" s="281"/>
      <c r="V94" s="50"/>
      <c r="Y94" s="1382"/>
      <c r="Z94" s="1383"/>
      <c r="AA94" s="852"/>
      <c r="AB94" s="852"/>
      <c r="AC94" s="852"/>
      <c r="AD94" s="852"/>
      <c r="AE94" s="852"/>
      <c r="AF94" s="852"/>
      <c r="AG94" s="852"/>
      <c r="AH94" s="852"/>
      <c r="AI94" s="852"/>
      <c r="AJ94" s="852"/>
      <c r="AK94" s="852"/>
      <c r="AL94" s="852"/>
      <c r="AM94" s="852"/>
      <c r="AN94" s="852"/>
      <c r="AO94" s="852"/>
      <c r="AP94" s="852"/>
      <c r="AQ94" s="852"/>
      <c r="AR94" s="852"/>
      <c r="AS94" s="852"/>
      <c r="AT94" s="852"/>
      <c r="AU94" s="852"/>
      <c r="AV94" s="852"/>
      <c r="AW94" s="852"/>
      <c r="AX94" s="852"/>
      <c r="AY94" s="852"/>
      <c r="AZ94" s="852"/>
      <c r="BA94" s="852"/>
      <c r="BB94" s="852"/>
      <c r="BC94" s="852"/>
      <c r="BD94" s="852"/>
      <c r="BE94" s="852"/>
      <c r="BF94" s="852"/>
      <c r="BG94" s="852"/>
      <c r="BH94" s="852"/>
      <c r="BI94" s="852"/>
      <c r="BJ94" s="852"/>
      <c r="BK94" s="852"/>
      <c r="BL94" s="852"/>
      <c r="BM94" s="852"/>
      <c r="BN94" s="852"/>
      <c r="BO94" s="852"/>
      <c r="BP94" s="852"/>
      <c r="BQ94" s="852"/>
      <c r="BR94" s="852"/>
      <c r="BS94" s="852"/>
      <c r="BT94" s="852"/>
      <c r="BU94" s="852"/>
      <c r="BV94" s="852"/>
      <c r="BW94" s="852"/>
      <c r="BX94" s="852"/>
      <c r="BY94" s="852"/>
      <c r="BZ94" s="852"/>
      <c r="CA94" s="852"/>
      <c r="CB94" s="852"/>
      <c r="CC94" s="852"/>
      <c r="CD94" s="852"/>
      <c r="CE94" s="852"/>
      <c r="CF94" s="852"/>
      <c r="CG94" s="852"/>
      <c r="CH94" s="852"/>
    </row>
    <row r="95" spans="2:86">
      <c r="B95" s="53"/>
      <c r="C95" s="50"/>
      <c r="D95" s="50"/>
      <c r="E95" s="50"/>
      <c r="F95" s="50"/>
      <c r="G95" s="50"/>
      <c r="H95" s="50"/>
      <c r="I95" s="388"/>
      <c r="J95" s="50"/>
      <c r="K95" s="50"/>
      <c r="L95" s="50"/>
      <c r="M95" s="50"/>
      <c r="N95" s="50"/>
      <c r="O95" s="79"/>
      <c r="P95" s="79"/>
      <c r="Q95" s="79"/>
      <c r="R95" s="79"/>
      <c r="S95" s="79"/>
      <c r="T95" s="50"/>
      <c r="U95" s="277"/>
      <c r="V95" s="276"/>
      <c r="Y95" s="1382"/>
      <c r="Z95" s="1383"/>
      <c r="AA95" s="852"/>
      <c r="AB95" s="852"/>
      <c r="AC95" s="852"/>
      <c r="AD95" s="852"/>
      <c r="AE95" s="852"/>
      <c r="AF95" s="852"/>
      <c r="AG95" s="852"/>
      <c r="AH95" s="852"/>
      <c r="AI95" s="852"/>
      <c r="AJ95" s="852"/>
      <c r="AK95" s="852"/>
      <c r="AL95" s="852"/>
      <c r="AM95" s="852"/>
      <c r="AN95" s="852"/>
      <c r="AO95" s="852"/>
      <c r="AP95" s="852"/>
      <c r="AQ95" s="852"/>
      <c r="AR95" s="852"/>
      <c r="AS95" s="852"/>
      <c r="AT95" s="852"/>
      <c r="AU95" s="852"/>
      <c r="AV95" s="852"/>
      <c r="AW95" s="852"/>
      <c r="AX95" s="852"/>
      <c r="AY95" s="852"/>
      <c r="AZ95" s="852"/>
      <c r="BA95" s="852"/>
      <c r="BB95" s="852"/>
      <c r="BC95" s="852"/>
      <c r="BD95" s="852"/>
      <c r="BE95" s="852"/>
      <c r="BF95" s="852"/>
      <c r="BG95" s="852"/>
      <c r="BH95" s="852"/>
      <c r="BI95" s="852"/>
      <c r="BJ95" s="852"/>
      <c r="BK95" s="852"/>
      <c r="BL95" s="852"/>
      <c r="BM95" s="852"/>
      <c r="BN95" s="852"/>
      <c r="BO95" s="852"/>
      <c r="BP95" s="852"/>
      <c r="BQ95" s="852"/>
      <c r="BR95" s="852"/>
      <c r="BS95" s="852"/>
      <c r="BT95" s="852"/>
      <c r="BU95" s="852"/>
      <c r="BV95" s="852"/>
      <c r="BW95" s="852"/>
      <c r="BX95" s="852"/>
      <c r="BY95" s="852"/>
      <c r="BZ95" s="852"/>
      <c r="CA95" s="852"/>
      <c r="CB95" s="852"/>
      <c r="CC95" s="852"/>
      <c r="CD95" s="852"/>
      <c r="CE95" s="852"/>
      <c r="CF95" s="852"/>
      <c r="CG95" s="852"/>
      <c r="CH95" s="852"/>
    </row>
    <row r="96" spans="2:86">
      <c r="B96" s="53"/>
      <c r="C96" s="50"/>
      <c r="D96" s="389"/>
      <c r="E96" s="389"/>
      <c r="F96" s="389"/>
      <c r="G96" s="389"/>
      <c r="H96" s="389"/>
      <c r="I96" s="389"/>
      <c r="J96" s="50"/>
      <c r="K96" s="50"/>
      <c r="L96" s="50"/>
      <c r="M96" s="50"/>
      <c r="N96" s="50"/>
      <c r="O96" s="79"/>
      <c r="P96" s="79"/>
      <c r="Q96" s="79"/>
      <c r="R96" s="79"/>
      <c r="S96" s="79"/>
      <c r="T96" s="50"/>
      <c r="U96" s="50"/>
      <c r="V96" s="50"/>
      <c r="Y96" s="1382"/>
      <c r="Z96" s="1383"/>
      <c r="AA96" s="852"/>
      <c r="AB96" s="852"/>
      <c r="AC96" s="852"/>
      <c r="AD96" s="852"/>
      <c r="AE96" s="852"/>
      <c r="AF96" s="852"/>
      <c r="AG96" s="852"/>
      <c r="AH96" s="852"/>
      <c r="AI96" s="852"/>
      <c r="AJ96" s="852"/>
      <c r="AK96" s="852"/>
      <c r="AL96" s="852"/>
      <c r="AM96" s="852"/>
      <c r="AN96" s="852"/>
      <c r="AO96" s="852"/>
      <c r="AP96" s="852"/>
      <c r="AQ96" s="852"/>
      <c r="AR96" s="852"/>
      <c r="AS96" s="852"/>
      <c r="AT96" s="852"/>
      <c r="AU96" s="852"/>
      <c r="AV96" s="852"/>
      <c r="AW96" s="852"/>
      <c r="AX96" s="852"/>
      <c r="AY96" s="852"/>
      <c r="AZ96" s="852"/>
      <c r="BA96" s="852"/>
      <c r="BB96" s="852"/>
      <c r="BC96" s="852"/>
      <c r="BD96" s="852"/>
      <c r="BE96" s="852"/>
      <c r="BF96" s="852"/>
      <c r="BG96" s="852"/>
      <c r="BH96" s="852"/>
      <c r="BI96" s="852"/>
      <c r="BJ96" s="852"/>
      <c r="BK96" s="852"/>
      <c r="BL96" s="852"/>
      <c r="BM96" s="852"/>
      <c r="BN96" s="852"/>
      <c r="BO96" s="852"/>
      <c r="BP96" s="852"/>
      <c r="BQ96" s="852"/>
      <c r="BR96" s="852"/>
      <c r="BS96" s="852"/>
      <c r="BT96" s="852"/>
      <c r="BU96" s="852"/>
      <c r="BV96" s="852"/>
      <c r="BW96" s="852"/>
      <c r="BX96" s="852"/>
      <c r="BY96" s="852"/>
      <c r="BZ96" s="852"/>
      <c r="CA96" s="852"/>
      <c r="CB96" s="852"/>
      <c r="CC96" s="852"/>
      <c r="CD96" s="852"/>
      <c r="CE96" s="852"/>
      <c r="CF96" s="852"/>
      <c r="CG96" s="852"/>
      <c r="CH96" s="852"/>
    </row>
    <row r="97" spans="2:86">
      <c r="B97" s="53"/>
      <c r="C97" s="50"/>
      <c r="D97" s="50"/>
      <c r="E97" s="50"/>
      <c r="F97" s="50"/>
      <c r="G97" s="50"/>
      <c r="H97" s="50"/>
      <c r="I97" s="50"/>
      <c r="J97" s="1273"/>
      <c r="L97" s="50"/>
      <c r="M97" s="50"/>
      <c r="N97" s="50"/>
      <c r="O97" s="79"/>
      <c r="P97" s="79"/>
      <c r="Q97" s="79"/>
      <c r="R97" s="79"/>
      <c r="S97" s="79"/>
      <c r="T97" s="50"/>
      <c r="U97" s="50"/>
      <c r="V97" s="50"/>
      <c r="Y97" s="1382"/>
      <c r="Z97" s="1383"/>
      <c r="AA97" s="852"/>
      <c r="AB97" s="852"/>
      <c r="AC97" s="852"/>
      <c r="AD97" s="852"/>
      <c r="AE97" s="852"/>
      <c r="AF97" s="852"/>
      <c r="AG97" s="852"/>
      <c r="AH97" s="852"/>
      <c r="AI97" s="852"/>
      <c r="AJ97" s="852"/>
      <c r="AK97" s="852"/>
      <c r="AL97" s="852"/>
      <c r="AM97" s="852"/>
      <c r="AN97" s="852"/>
      <c r="AO97" s="852"/>
      <c r="AP97" s="852"/>
      <c r="AQ97" s="852"/>
      <c r="AR97" s="852"/>
      <c r="AS97" s="852"/>
      <c r="AT97" s="852"/>
      <c r="AU97" s="852"/>
      <c r="AV97" s="852"/>
      <c r="AW97" s="852"/>
      <c r="AX97" s="852"/>
      <c r="AY97" s="852"/>
      <c r="AZ97" s="852"/>
      <c r="BA97" s="852"/>
      <c r="BB97" s="852"/>
      <c r="BC97" s="852"/>
      <c r="BD97" s="852"/>
      <c r="BE97" s="852"/>
      <c r="BF97" s="852"/>
      <c r="BG97" s="852"/>
      <c r="BH97" s="852"/>
      <c r="BI97" s="852"/>
      <c r="BJ97" s="852"/>
      <c r="BK97" s="852"/>
      <c r="BL97" s="852"/>
      <c r="BM97" s="852"/>
      <c r="BN97" s="852"/>
      <c r="BO97" s="852"/>
      <c r="BP97" s="852"/>
      <c r="BQ97" s="852"/>
      <c r="BR97" s="852"/>
      <c r="BS97" s="852"/>
      <c r="BT97" s="852"/>
      <c r="BU97" s="852"/>
      <c r="BV97" s="852"/>
      <c r="BW97" s="852"/>
      <c r="BX97" s="852"/>
      <c r="BY97" s="852"/>
      <c r="BZ97" s="852"/>
      <c r="CA97" s="852"/>
      <c r="CB97" s="852"/>
      <c r="CC97" s="852"/>
      <c r="CD97" s="852"/>
      <c r="CE97" s="852"/>
      <c r="CF97" s="852"/>
      <c r="CG97" s="852"/>
      <c r="CH97" s="852"/>
    </row>
    <row r="98" spans="2:86" ht="18">
      <c r="B98" s="63" t="s">
        <v>79</v>
      </c>
      <c r="C98" s="50"/>
      <c r="D98" s="50"/>
      <c r="E98" s="50"/>
      <c r="F98" s="50"/>
      <c r="G98" s="50"/>
      <c r="H98" s="50"/>
      <c r="I98" s="50"/>
      <c r="J98" s="50"/>
      <c r="K98" s="50"/>
      <c r="L98" s="394"/>
      <c r="M98" s="50"/>
      <c r="N98" s="90"/>
      <c r="O98" s="90" t="s">
        <v>199</v>
      </c>
      <c r="P98" s="90"/>
      <c r="Q98" s="90"/>
      <c r="R98" s="90"/>
      <c r="S98" s="90"/>
      <c r="T98" s="90"/>
      <c r="U98" s="50"/>
      <c r="V98" s="50"/>
      <c r="Y98" s="1382"/>
      <c r="Z98" s="1383"/>
      <c r="AA98" s="852"/>
      <c r="AB98" s="852"/>
      <c r="AC98" s="852"/>
      <c r="AD98" s="852"/>
      <c r="AE98" s="852"/>
      <c r="AF98" s="852"/>
      <c r="AG98" s="852"/>
      <c r="AH98" s="852"/>
      <c r="AI98" s="852"/>
      <c r="AJ98" s="852"/>
      <c r="AK98" s="852"/>
      <c r="AL98" s="852"/>
      <c r="AM98" s="852"/>
      <c r="AN98" s="852"/>
      <c r="AO98" s="852"/>
      <c r="AP98" s="852"/>
      <c r="AQ98" s="852"/>
      <c r="AR98" s="852"/>
      <c r="AS98" s="852"/>
      <c r="AT98" s="852"/>
      <c r="AU98" s="852"/>
      <c r="AV98" s="852"/>
      <c r="AW98" s="852"/>
      <c r="AX98" s="852"/>
      <c r="AY98" s="852"/>
      <c r="AZ98" s="852"/>
      <c r="BA98" s="852"/>
      <c r="BB98" s="852"/>
      <c r="BC98" s="852"/>
      <c r="BD98" s="852"/>
      <c r="BE98" s="852"/>
      <c r="BF98" s="852"/>
      <c r="BG98" s="852"/>
      <c r="BH98" s="852"/>
      <c r="BI98" s="852"/>
      <c r="BJ98" s="852"/>
      <c r="BK98" s="852"/>
      <c r="BL98" s="852"/>
      <c r="BM98" s="852"/>
      <c r="BN98" s="852"/>
      <c r="BO98" s="852"/>
      <c r="BP98" s="852"/>
      <c r="BQ98" s="852"/>
      <c r="BR98" s="852"/>
      <c r="BS98" s="852"/>
      <c r="BT98" s="852"/>
      <c r="BU98" s="852"/>
      <c r="BV98" s="852"/>
      <c r="BW98" s="852"/>
      <c r="BX98" s="852"/>
      <c r="BY98" s="852"/>
      <c r="BZ98" s="852"/>
      <c r="CA98" s="852"/>
      <c r="CB98" s="852"/>
      <c r="CC98" s="852"/>
      <c r="CD98" s="852"/>
      <c r="CE98" s="852"/>
      <c r="CF98" s="852"/>
      <c r="CG98" s="852"/>
      <c r="CH98" s="852"/>
    </row>
    <row r="99" spans="2:86" ht="28.5">
      <c r="B99" s="80"/>
      <c r="C99" s="56" t="s">
        <v>44</v>
      </c>
      <c r="D99" s="56" t="s">
        <v>45</v>
      </c>
      <c r="E99" s="56" t="s">
        <v>46</v>
      </c>
      <c r="F99" s="56" t="s">
        <v>47</v>
      </c>
      <c r="G99" s="56" t="s">
        <v>48</v>
      </c>
      <c r="H99" s="56" t="s">
        <v>49</v>
      </c>
      <c r="I99" s="56" t="s">
        <v>50</v>
      </c>
      <c r="J99" s="56" t="s">
        <v>51</v>
      </c>
      <c r="K99" s="56" t="s">
        <v>52</v>
      </c>
      <c r="L99" s="56" t="s">
        <v>53</v>
      </c>
      <c r="M99" s="56" t="s">
        <v>54</v>
      </c>
      <c r="N99" s="56" t="s">
        <v>55</v>
      </c>
      <c r="O99" s="81" t="s">
        <v>42</v>
      </c>
      <c r="P99" s="1270" t="str">
        <f t="shared" ref="P99:W99" si="22">P7</f>
        <v>Budget19</v>
      </c>
      <c r="Q99" s="1175" t="str">
        <f t="shared" si="22"/>
        <v>Budget17</v>
      </c>
      <c r="R99" s="1175" t="str">
        <f t="shared" si="22"/>
        <v>Budget16</v>
      </c>
      <c r="S99" s="1175" t="str">
        <f t="shared" si="22"/>
        <v>Budget15</v>
      </c>
      <c r="T99" s="1175" t="str">
        <f t="shared" si="22"/>
        <v>Budget14</v>
      </c>
      <c r="U99" s="1175" t="str">
        <f t="shared" si="22"/>
        <v>Budget13</v>
      </c>
      <c r="V99" s="1175" t="str">
        <f t="shared" si="22"/>
        <v>Budget12</v>
      </c>
      <c r="W99" s="1175" t="str">
        <f t="shared" si="22"/>
        <v>Budget11</v>
      </c>
      <c r="X99" s="82" t="s">
        <v>80</v>
      </c>
      <c r="Y99" s="1382"/>
      <c r="Z99" s="1383"/>
      <c r="AA99" s="852"/>
      <c r="AB99" s="852"/>
      <c r="AC99" s="852"/>
      <c r="AD99" s="852"/>
      <c r="AE99" s="852"/>
      <c r="AF99" s="852"/>
      <c r="AG99" s="852"/>
      <c r="AH99" s="852"/>
      <c r="AI99" s="852"/>
      <c r="AJ99" s="852"/>
      <c r="AK99" s="852"/>
      <c r="AL99" s="852"/>
      <c r="AM99" s="852"/>
      <c r="AN99" s="852"/>
      <c r="AO99" s="852"/>
      <c r="AP99" s="852"/>
      <c r="AQ99" s="852"/>
      <c r="AR99" s="852"/>
      <c r="AS99" s="852"/>
      <c r="AT99" s="852"/>
      <c r="AU99" s="852"/>
      <c r="AV99" s="852"/>
      <c r="AW99" s="852"/>
      <c r="AX99" s="852"/>
      <c r="AY99" s="852"/>
      <c r="AZ99" s="852"/>
      <c r="BA99" s="852"/>
      <c r="BB99" s="852"/>
      <c r="BC99" s="852"/>
      <c r="BD99" s="852"/>
      <c r="BE99" s="852"/>
      <c r="BF99" s="852"/>
      <c r="BG99" s="852"/>
      <c r="BH99" s="852"/>
      <c r="BI99" s="852"/>
      <c r="BJ99" s="852"/>
      <c r="BK99" s="852"/>
      <c r="BL99" s="852"/>
      <c r="BM99" s="852"/>
      <c r="BN99" s="852"/>
      <c r="BO99" s="852"/>
      <c r="BP99" s="852"/>
      <c r="BQ99" s="852"/>
      <c r="BR99" s="852"/>
      <c r="BS99" s="852"/>
      <c r="BT99" s="852"/>
      <c r="BU99" s="852"/>
      <c r="BV99" s="852"/>
      <c r="BW99" s="852"/>
      <c r="BX99" s="852"/>
      <c r="BY99" s="852"/>
      <c r="BZ99" s="852"/>
      <c r="CA99" s="852"/>
      <c r="CB99" s="852"/>
      <c r="CC99" s="852"/>
      <c r="CD99" s="852"/>
      <c r="CE99" s="852"/>
      <c r="CF99" s="852"/>
      <c r="CG99" s="852"/>
      <c r="CH99" s="852"/>
    </row>
    <row r="100" spans="2:86">
      <c r="B100" s="83" t="s">
        <v>81</v>
      </c>
      <c r="C100" s="1292">
        <f>IF(C15=0," ",C31/C15)</f>
        <v>0.83723948031484619</v>
      </c>
      <c r="D100" s="1292">
        <f>IF(D15=0," ",D31/(D15))</f>
        <v>0.84190708563601646</v>
      </c>
      <c r="E100" s="1292">
        <f t="shared" ref="E100:N100" si="23">IF(E15=0," ",E31/E15)</f>
        <v>0.84179752194812563</v>
      </c>
      <c r="F100" s="1292">
        <f t="shared" si="23"/>
        <v>0.8417874590116784</v>
      </c>
      <c r="G100" s="1316">
        <f t="shared" si="23"/>
        <v>0.84517736571625668</v>
      </c>
      <c r="H100" s="1292">
        <f t="shared" si="23"/>
        <v>0.85182904541121085</v>
      </c>
      <c r="I100" s="1292">
        <f t="shared" si="23"/>
        <v>0.84401326001288868</v>
      </c>
      <c r="J100" s="1292">
        <f t="shared" si="23"/>
        <v>0.8450147921024288</v>
      </c>
      <c r="K100" s="1292">
        <f t="shared" si="23"/>
        <v>0.84705258425794583</v>
      </c>
      <c r="L100" s="1292">
        <f t="shared" si="23"/>
        <v>0.84399902229702672</v>
      </c>
      <c r="M100" s="1316">
        <f t="shared" si="23"/>
        <v>0.84403286196603933</v>
      </c>
      <c r="N100" s="1292">
        <f t="shared" si="23"/>
        <v>0.84312340387003115</v>
      </c>
      <c r="O100" s="1320">
        <f t="shared" ref="O100" si="24">IF(O15=0," ",O31/O15)</f>
        <v>0.84387562204342426</v>
      </c>
      <c r="P100" s="84">
        <v>0.84606021968856249</v>
      </c>
      <c r="Q100" s="84">
        <v>0.84772671569869573</v>
      </c>
      <c r="R100" s="84">
        <v>0.84599999999999997</v>
      </c>
      <c r="S100" s="84">
        <v>0.84599999999999997</v>
      </c>
      <c r="T100" s="84">
        <v>0.84399999999999997</v>
      </c>
      <c r="U100" s="84">
        <v>0.84199999999999997</v>
      </c>
      <c r="V100" s="84">
        <v>0.84199999999999997</v>
      </c>
      <c r="W100" s="84">
        <v>0.85</v>
      </c>
      <c r="X100" s="85">
        <v>0.86</v>
      </c>
      <c r="Y100" s="1494"/>
      <c r="Z100" s="1383"/>
      <c r="AA100" s="852"/>
      <c r="AB100" s="852"/>
      <c r="AC100" s="852"/>
      <c r="AD100" s="852"/>
      <c r="AE100" s="852"/>
      <c r="AF100" s="852"/>
      <c r="AG100" s="852"/>
      <c r="AH100" s="852"/>
      <c r="AI100" s="852"/>
      <c r="AJ100" s="852"/>
      <c r="AK100" s="852"/>
      <c r="AL100" s="852"/>
      <c r="AM100" s="852"/>
      <c r="AN100" s="852"/>
      <c r="AO100" s="852"/>
      <c r="AP100" s="852"/>
      <c r="AQ100" s="852"/>
      <c r="AR100" s="852"/>
      <c r="AS100" s="852"/>
      <c r="AT100" s="852"/>
      <c r="AU100" s="852"/>
      <c r="AV100" s="852"/>
      <c r="AW100" s="852"/>
      <c r="AX100" s="852"/>
      <c r="AY100" s="852"/>
      <c r="AZ100" s="852"/>
      <c r="BA100" s="852"/>
      <c r="BB100" s="852"/>
      <c r="BC100" s="852"/>
      <c r="BD100" s="852"/>
      <c r="BE100" s="852"/>
      <c r="BF100" s="852"/>
      <c r="BG100" s="852"/>
      <c r="BH100" s="852"/>
      <c r="BI100" s="852"/>
      <c r="BJ100" s="852"/>
      <c r="BK100" s="852"/>
      <c r="BL100" s="852"/>
      <c r="BM100" s="852"/>
      <c r="BN100" s="852"/>
      <c r="BO100" s="852"/>
      <c r="BP100" s="852"/>
      <c r="BQ100" s="852"/>
      <c r="BR100" s="852"/>
      <c r="BS100" s="852"/>
      <c r="BT100" s="852"/>
      <c r="BU100" s="852"/>
      <c r="BV100" s="852"/>
      <c r="BW100" s="852"/>
      <c r="BX100" s="852"/>
      <c r="BY100" s="852"/>
      <c r="BZ100" s="852"/>
      <c r="CA100" s="852"/>
      <c r="CB100" s="852"/>
      <c r="CC100" s="852"/>
      <c r="CD100" s="852"/>
      <c r="CE100" s="852"/>
      <c r="CF100" s="852"/>
      <c r="CG100" s="852"/>
      <c r="CH100" s="852"/>
    </row>
    <row r="101" spans="2:86">
      <c r="B101" s="83" t="s">
        <v>82</v>
      </c>
      <c r="C101" s="1292">
        <f>IF(C15=0," ",C34/C15)</f>
        <v>0.27269915074128825</v>
      </c>
      <c r="D101" s="1292">
        <f>IF(D15=0," ",D34/(D15))</f>
        <v>0.26980602484403599</v>
      </c>
      <c r="E101" s="1292">
        <f t="shared" ref="E101:N101" si="25">IF(E15=0," ",E34/E15)</f>
        <v>0.27477291936226222</v>
      </c>
      <c r="F101" s="1292">
        <f t="shared" si="25"/>
        <v>0.27250187812196336</v>
      </c>
      <c r="G101" s="1316">
        <f t="shared" si="25"/>
        <v>0.27158774710667488</v>
      </c>
      <c r="H101" s="1292">
        <f t="shared" si="25"/>
        <v>0.27374506378596497</v>
      </c>
      <c r="I101" s="1292">
        <f t="shared" si="25"/>
        <v>0.27429569198495213</v>
      </c>
      <c r="J101" s="1292">
        <f t="shared" si="25"/>
        <v>0.27721565854146452</v>
      </c>
      <c r="K101" s="1292">
        <f t="shared" si="25"/>
        <v>0.27169330548898696</v>
      </c>
      <c r="L101" s="1292">
        <f t="shared" si="25"/>
        <v>0.27489058110122838</v>
      </c>
      <c r="M101" s="1316">
        <f t="shared" si="25"/>
        <v>0.27490046233753923</v>
      </c>
      <c r="N101" s="1292">
        <f t="shared" si="25"/>
        <v>0.27400494784698798</v>
      </c>
      <c r="O101" s="1320">
        <f t="shared" ref="O101" si="26">IF(O15=0," ",O34/O15)</f>
        <v>0.27356196012084177</v>
      </c>
      <c r="P101" s="84">
        <v>0.26989464269639296</v>
      </c>
      <c r="Q101" s="84">
        <v>0.27112002702230242</v>
      </c>
      <c r="R101" s="84">
        <v>0.27400000000000002</v>
      </c>
      <c r="S101" s="84">
        <v>0.27400000000000002</v>
      </c>
      <c r="T101" s="84">
        <v>0.27600000000000002</v>
      </c>
      <c r="U101" s="84">
        <v>0.27800000000000002</v>
      </c>
      <c r="V101" s="84">
        <v>0.27800000000000002</v>
      </c>
      <c r="W101" s="84">
        <v>0.27300000000000002</v>
      </c>
      <c r="X101" s="85">
        <v>0.27600000000000002</v>
      </c>
      <c r="Y101" s="1382"/>
      <c r="Z101" s="1383"/>
      <c r="AA101" s="852"/>
      <c r="AB101" s="852"/>
      <c r="AC101" s="852"/>
      <c r="AD101" s="852"/>
      <c r="AE101" s="852"/>
      <c r="AF101" s="852"/>
      <c r="AG101" s="852"/>
      <c r="AH101" s="852"/>
      <c r="AI101" s="852"/>
      <c r="AJ101" s="852"/>
      <c r="AK101" s="852"/>
      <c r="AL101" s="852"/>
      <c r="AM101" s="852"/>
      <c r="AN101" s="852"/>
      <c r="AO101" s="852"/>
      <c r="AP101" s="852"/>
      <c r="AQ101" s="852"/>
      <c r="AR101" s="852"/>
      <c r="AS101" s="852"/>
      <c r="AT101" s="852"/>
      <c r="AU101" s="852"/>
      <c r="AV101" s="852"/>
      <c r="AW101" s="852"/>
      <c r="AX101" s="852"/>
      <c r="AY101" s="852"/>
      <c r="AZ101" s="852"/>
      <c r="BA101" s="852"/>
      <c r="BB101" s="852"/>
      <c r="BC101" s="852"/>
      <c r="BD101" s="852"/>
      <c r="BE101" s="852"/>
      <c r="BF101" s="852"/>
      <c r="BG101" s="852"/>
      <c r="BH101" s="852"/>
      <c r="BI101" s="852"/>
      <c r="BJ101" s="852"/>
      <c r="BK101" s="852"/>
      <c r="BL101" s="852"/>
      <c r="BM101" s="852"/>
      <c r="BN101" s="852"/>
      <c r="BO101" s="852"/>
      <c r="BP101" s="852"/>
      <c r="BQ101" s="852"/>
      <c r="BR101" s="852"/>
      <c r="BS101" s="852"/>
      <c r="BT101" s="852"/>
      <c r="BU101" s="852"/>
      <c r="BV101" s="852"/>
      <c r="BW101" s="852"/>
      <c r="BX101" s="852"/>
      <c r="BY101" s="852"/>
      <c r="BZ101" s="852"/>
      <c r="CA101" s="852"/>
      <c r="CB101" s="852"/>
      <c r="CC101" s="852"/>
      <c r="CD101" s="852"/>
      <c r="CE101" s="852"/>
      <c r="CF101" s="852"/>
      <c r="CG101" s="852"/>
      <c r="CH101" s="852"/>
    </row>
    <row r="102" spans="2:86">
      <c r="B102" s="86" t="s">
        <v>83</v>
      </c>
      <c r="C102" s="1292">
        <f>IF(C15=0," ",C36/C15)</f>
        <v>1.1099386310561346</v>
      </c>
      <c r="D102" s="1292">
        <f>IF(D15=0," ",D36/(D15))</f>
        <v>1.1117131104800524</v>
      </c>
      <c r="E102" s="1292">
        <f t="shared" ref="E102:N102" si="27">IF(E15=0," ",E36/E15)</f>
        <v>1.1165704413103879</v>
      </c>
      <c r="F102" s="1292">
        <f t="shared" si="27"/>
        <v>1.1142893371336418</v>
      </c>
      <c r="G102" s="1316">
        <f t="shared" si="27"/>
        <v>1.1167651128229314</v>
      </c>
      <c r="H102" s="1292">
        <f t="shared" si="27"/>
        <v>1.1255741091971758</v>
      </c>
      <c r="I102" s="1292">
        <f t="shared" si="27"/>
        <v>1.1183089519978409</v>
      </c>
      <c r="J102" s="1292">
        <f t="shared" si="27"/>
        <v>1.1222304506438934</v>
      </c>
      <c r="K102" s="1292">
        <f t="shared" si="27"/>
        <v>1.1187458897469329</v>
      </c>
      <c r="L102" s="1292">
        <f t="shared" si="27"/>
        <v>1.1188896033982552</v>
      </c>
      <c r="M102" s="1316">
        <f t="shared" si="27"/>
        <v>1.1189333243035786</v>
      </c>
      <c r="N102" s="1292">
        <f t="shared" si="27"/>
        <v>1.117128351717019</v>
      </c>
      <c r="O102" s="1548">
        <f t="shared" ref="O102" si="28">IF(O15=0," ",O36/O15)</f>
        <v>1.1174375821642661</v>
      </c>
      <c r="P102" s="87">
        <f t="shared" ref="P102:R102" si="29">P100+P101</f>
        <v>1.1159548623849553</v>
      </c>
      <c r="Q102" s="87">
        <f t="shared" si="29"/>
        <v>1.118846742720998</v>
      </c>
      <c r="R102" s="87">
        <f t="shared" si="29"/>
        <v>1.1200000000000001</v>
      </c>
      <c r="S102" s="87">
        <f t="shared" ref="S102:X102" si="30">S100+S101</f>
        <v>1.1200000000000001</v>
      </c>
      <c r="T102" s="87">
        <f t="shared" si="30"/>
        <v>1.1200000000000001</v>
      </c>
      <c r="U102" s="87">
        <f t="shared" si="30"/>
        <v>1.1200000000000001</v>
      </c>
      <c r="V102" s="87">
        <f t="shared" si="30"/>
        <v>1.1200000000000001</v>
      </c>
      <c r="W102" s="87">
        <f t="shared" si="30"/>
        <v>1.123</v>
      </c>
      <c r="X102" s="85">
        <f t="shared" si="30"/>
        <v>1.1360000000000001</v>
      </c>
      <c r="Y102" s="1382"/>
      <c r="Z102" s="1383"/>
      <c r="AA102" s="852"/>
      <c r="AB102" s="852"/>
      <c r="AC102" s="852"/>
      <c r="AD102" s="852"/>
      <c r="AE102" s="852"/>
      <c r="AF102" s="852"/>
      <c r="AG102" s="852"/>
      <c r="AH102" s="852"/>
      <c r="AI102" s="852"/>
      <c r="AJ102" s="852"/>
      <c r="AK102" s="852"/>
      <c r="AL102" s="852"/>
      <c r="AM102" s="852"/>
      <c r="AN102" s="852"/>
      <c r="AO102" s="852"/>
      <c r="AP102" s="852"/>
      <c r="AQ102" s="852"/>
      <c r="AR102" s="852"/>
      <c r="AS102" s="852"/>
      <c r="AT102" s="852"/>
      <c r="AU102" s="852"/>
      <c r="AV102" s="852"/>
      <c r="AW102" s="852"/>
      <c r="AX102" s="852"/>
      <c r="AY102" s="852"/>
      <c r="AZ102" s="852"/>
      <c r="BA102" s="852"/>
      <c r="BB102" s="852"/>
      <c r="BC102" s="852"/>
      <c r="BD102" s="852"/>
      <c r="BE102" s="852"/>
      <c r="BF102" s="852"/>
      <c r="BG102" s="852"/>
      <c r="BH102" s="852"/>
      <c r="BI102" s="852"/>
      <c r="BJ102" s="852"/>
      <c r="BK102" s="852"/>
      <c r="BL102" s="852"/>
      <c r="BM102" s="852"/>
      <c r="BN102" s="852"/>
      <c r="BO102" s="852"/>
      <c r="BP102" s="852"/>
      <c r="BQ102" s="852"/>
      <c r="BR102" s="852"/>
      <c r="BS102" s="852"/>
      <c r="BT102" s="852"/>
      <c r="BU102" s="852"/>
      <c r="BV102" s="852"/>
      <c r="BW102" s="852"/>
      <c r="BX102" s="852"/>
      <c r="BY102" s="852"/>
      <c r="BZ102" s="852"/>
      <c r="CA102" s="852"/>
      <c r="CB102" s="852"/>
      <c r="CC102" s="852"/>
      <c r="CD102" s="852"/>
      <c r="CE102" s="852"/>
      <c r="CF102" s="852"/>
      <c r="CG102" s="852"/>
      <c r="CH102" s="852"/>
    </row>
    <row r="103" spans="2:86">
      <c r="B103" s="65"/>
      <c r="C103" s="1287"/>
      <c r="D103" s="1288"/>
      <c r="E103" s="66"/>
      <c r="F103" s="66"/>
      <c r="G103" s="66"/>
      <c r="H103" s="66"/>
      <c r="I103" s="66"/>
      <c r="J103" s="66"/>
      <c r="K103" s="66"/>
      <c r="L103" s="66"/>
      <c r="M103" s="62"/>
      <c r="N103" s="62"/>
      <c r="O103" s="88"/>
      <c r="P103" s="88"/>
      <c r="Q103" s="88"/>
      <c r="R103" s="88"/>
      <c r="S103" s="88"/>
      <c r="T103" s="88"/>
      <c r="U103" s="89"/>
      <c r="V103" s="62"/>
      <c r="Y103" s="1382"/>
      <c r="Z103" s="1383"/>
      <c r="AA103" s="852"/>
      <c r="AB103" s="852"/>
      <c r="AC103" s="852"/>
      <c r="AD103" s="852"/>
      <c r="AE103" s="852"/>
      <c r="AF103" s="852"/>
      <c r="AG103" s="852"/>
      <c r="AH103" s="852"/>
      <c r="AI103" s="852"/>
      <c r="AJ103" s="852"/>
      <c r="AK103" s="852"/>
      <c r="AL103" s="852"/>
      <c r="AM103" s="852"/>
      <c r="AN103" s="852"/>
      <c r="AO103" s="852"/>
      <c r="AP103" s="852"/>
      <c r="AQ103" s="852"/>
      <c r="AR103" s="852"/>
      <c r="AS103" s="852"/>
      <c r="AT103" s="852"/>
      <c r="AU103" s="852"/>
      <c r="AV103" s="852"/>
      <c r="AW103" s="852"/>
      <c r="AX103" s="852"/>
      <c r="AY103" s="852"/>
      <c r="AZ103" s="852"/>
      <c r="BA103" s="852"/>
      <c r="BB103" s="852"/>
      <c r="BC103" s="852"/>
      <c r="BD103" s="852"/>
      <c r="BE103" s="852"/>
      <c r="BF103" s="852"/>
      <c r="BG103" s="852"/>
      <c r="BH103" s="852"/>
      <c r="BI103" s="852"/>
      <c r="BJ103" s="852"/>
      <c r="BK103" s="852"/>
      <c r="BL103" s="852"/>
      <c r="BM103" s="852"/>
      <c r="BN103" s="852"/>
      <c r="BO103" s="852"/>
      <c r="BP103" s="852"/>
      <c r="BQ103" s="852"/>
      <c r="BR103" s="852"/>
      <c r="BS103" s="852"/>
      <c r="BT103" s="852"/>
      <c r="BU103" s="852"/>
      <c r="BV103" s="852"/>
      <c r="BW103" s="852"/>
      <c r="BX103" s="852"/>
      <c r="BY103" s="852"/>
      <c r="BZ103" s="852"/>
      <c r="CA103" s="852"/>
      <c r="CB103" s="852"/>
      <c r="CC103" s="852"/>
      <c r="CD103" s="852"/>
      <c r="CE103" s="852"/>
      <c r="CF103" s="852"/>
      <c r="CG103" s="852"/>
      <c r="CH103" s="852"/>
    </row>
    <row r="104" spans="2:86" ht="15" customHeight="1">
      <c r="B104" s="50"/>
      <c r="C104" s="393"/>
      <c r="D104" s="395"/>
      <c r="E104" s="395"/>
      <c r="F104" s="395"/>
      <c r="G104" s="395"/>
      <c r="H104" s="1272"/>
      <c r="I104" s="395"/>
      <c r="J104" s="66"/>
      <c r="K104" s="395"/>
      <c r="L104" s="395"/>
      <c r="M104" s="90">
        <v>0.878</v>
      </c>
      <c r="N104" s="90">
        <v>0.878</v>
      </c>
      <c r="O104" s="90">
        <v>0.878</v>
      </c>
      <c r="P104" s="90"/>
      <c r="Q104" s="90"/>
      <c r="R104" s="90"/>
      <c r="S104" s="90"/>
      <c r="T104" s="90"/>
      <c r="U104" s="1744"/>
      <c r="V104" s="1744" t="s">
        <v>318</v>
      </c>
      <c r="W104" s="1744" t="s">
        <v>319</v>
      </c>
      <c r="Y104" s="1382"/>
      <c r="Z104" s="1383"/>
      <c r="AA104" s="852"/>
      <c r="AB104" s="852"/>
      <c r="AC104" s="852"/>
      <c r="AD104" s="852"/>
      <c r="AE104" s="852"/>
      <c r="AF104" s="852"/>
      <c r="AG104" s="852"/>
      <c r="AH104" s="852"/>
      <c r="AI104" s="852"/>
      <c r="AJ104" s="852"/>
      <c r="AK104" s="852"/>
      <c r="AL104" s="852"/>
      <c r="AM104" s="852"/>
      <c r="AN104" s="852"/>
      <c r="AO104" s="852"/>
      <c r="AP104" s="852"/>
      <c r="AQ104" s="852"/>
      <c r="AR104" s="852"/>
      <c r="AS104" s="852"/>
      <c r="AT104" s="852"/>
      <c r="AU104" s="852"/>
      <c r="AV104" s="852"/>
      <c r="AW104" s="852"/>
      <c r="AX104" s="852"/>
      <c r="AY104" s="852"/>
      <c r="AZ104" s="852"/>
      <c r="BA104" s="852"/>
      <c r="BB104" s="852"/>
      <c r="BC104" s="852"/>
      <c r="BD104" s="852"/>
      <c r="BE104" s="852"/>
      <c r="BF104" s="852"/>
      <c r="BG104" s="852"/>
      <c r="BH104" s="852"/>
      <c r="BI104" s="852"/>
      <c r="BJ104" s="852"/>
      <c r="BK104" s="852"/>
      <c r="BL104" s="852"/>
      <c r="BM104" s="852"/>
      <c r="BN104" s="852"/>
      <c r="BO104" s="852"/>
      <c r="BP104" s="852"/>
      <c r="BQ104" s="852"/>
      <c r="BR104" s="852"/>
      <c r="BS104" s="852"/>
      <c r="BT104" s="852"/>
      <c r="BU104" s="852"/>
      <c r="BV104" s="852"/>
      <c r="BW104" s="852"/>
      <c r="BX104" s="852"/>
      <c r="BY104" s="852"/>
      <c r="BZ104" s="852"/>
      <c r="CA104" s="852"/>
      <c r="CB104" s="852"/>
      <c r="CC104" s="852"/>
      <c r="CD104" s="852"/>
      <c r="CE104" s="852"/>
      <c r="CF104" s="852"/>
      <c r="CG104" s="852"/>
      <c r="CH104" s="852"/>
    </row>
    <row r="105" spans="2:86">
      <c r="B105" s="50"/>
      <c r="C105" s="395"/>
      <c r="D105" s="395"/>
      <c r="E105" s="395"/>
      <c r="F105" s="395"/>
      <c r="G105" s="395"/>
      <c r="H105" s="395"/>
      <c r="I105" s="395"/>
      <c r="J105" s="395"/>
      <c r="K105" s="395"/>
      <c r="L105" s="395"/>
      <c r="M105" s="50"/>
      <c r="N105" s="50"/>
      <c r="O105" s="50"/>
      <c r="P105" s="50"/>
      <c r="Q105" s="50"/>
      <c r="R105" s="50"/>
      <c r="S105" s="50"/>
      <c r="T105" s="50"/>
      <c r="U105" s="1744"/>
      <c r="V105" s="1744"/>
      <c r="W105" s="1744"/>
      <c r="Y105" s="1382"/>
      <c r="Z105" s="1383"/>
      <c r="AA105" s="852"/>
      <c r="AB105" s="852"/>
      <c r="AC105" s="852"/>
      <c r="AD105" s="852"/>
      <c r="AE105" s="852"/>
      <c r="AF105" s="852"/>
      <c r="AG105" s="852"/>
      <c r="AH105" s="852"/>
      <c r="AI105" s="852"/>
      <c r="AJ105" s="852"/>
      <c r="AK105" s="852"/>
      <c r="AL105" s="852"/>
      <c r="AM105" s="852"/>
      <c r="AN105" s="852"/>
      <c r="AO105" s="852"/>
      <c r="AP105" s="852"/>
      <c r="AQ105" s="852"/>
      <c r="AR105" s="852"/>
      <c r="AS105" s="852"/>
      <c r="AT105" s="852"/>
      <c r="AU105" s="852"/>
      <c r="AV105" s="852"/>
      <c r="AW105" s="852"/>
      <c r="AX105" s="852"/>
      <c r="AY105" s="852"/>
      <c r="AZ105" s="852"/>
      <c r="BA105" s="852"/>
      <c r="BB105" s="852"/>
      <c r="BC105" s="852"/>
      <c r="BD105" s="852"/>
      <c r="BE105" s="852"/>
      <c r="BF105" s="852"/>
      <c r="BG105" s="852"/>
      <c r="BH105" s="852"/>
      <c r="BI105" s="852"/>
      <c r="BJ105" s="852"/>
      <c r="BK105" s="852"/>
      <c r="BL105" s="852"/>
      <c r="BM105" s="852"/>
      <c r="BN105" s="852"/>
      <c r="BO105" s="852"/>
      <c r="BP105" s="852"/>
      <c r="BQ105" s="852"/>
      <c r="BR105" s="852"/>
      <c r="BS105" s="852"/>
      <c r="BT105" s="852"/>
      <c r="BU105" s="852"/>
      <c r="BV105" s="852"/>
      <c r="BW105" s="852"/>
      <c r="BX105" s="852"/>
      <c r="BY105" s="852"/>
      <c r="BZ105" s="852"/>
      <c r="CA105" s="852"/>
      <c r="CB105" s="852"/>
      <c r="CC105" s="852"/>
      <c r="CD105" s="852"/>
      <c r="CE105" s="852"/>
      <c r="CF105" s="852"/>
      <c r="CG105" s="852"/>
      <c r="CH105" s="852"/>
    </row>
    <row r="106" spans="2:86" ht="18">
      <c r="B106" s="63" t="s">
        <v>366</v>
      </c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62"/>
      <c r="O106" s="62"/>
      <c r="P106" s="62"/>
      <c r="Q106" s="62"/>
      <c r="R106" s="62"/>
      <c r="S106" s="62"/>
      <c r="T106" s="62"/>
      <c r="U106" s="1745"/>
      <c r="V106" s="1745"/>
      <c r="W106" s="1745"/>
      <c r="Y106" s="1382"/>
      <c r="Z106" s="1383"/>
      <c r="AA106" s="852"/>
      <c r="AB106" s="852"/>
      <c r="AC106" s="852"/>
      <c r="AD106" s="852"/>
      <c r="AE106" s="852"/>
      <c r="AF106" s="852"/>
      <c r="AG106" s="852"/>
      <c r="AH106" s="852"/>
      <c r="AI106" s="852"/>
      <c r="AJ106" s="852"/>
      <c r="AK106" s="852"/>
      <c r="AL106" s="852"/>
      <c r="AM106" s="852"/>
      <c r="AN106" s="852"/>
      <c r="AO106" s="852"/>
      <c r="AP106" s="852"/>
      <c r="AQ106" s="852"/>
      <c r="AR106" s="852"/>
      <c r="AS106" s="852"/>
      <c r="AT106" s="852"/>
      <c r="AU106" s="852"/>
      <c r="AV106" s="852"/>
      <c r="AW106" s="852"/>
      <c r="AX106" s="852"/>
      <c r="AY106" s="852"/>
      <c r="AZ106" s="852"/>
      <c r="BA106" s="852"/>
      <c r="BB106" s="852"/>
      <c r="BC106" s="852"/>
      <c r="BD106" s="852"/>
      <c r="BE106" s="852"/>
      <c r="BF106" s="852"/>
      <c r="BG106" s="852"/>
      <c r="BH106" s="852"/>
      <c r="BI106" s="852"/>
      <c r="BJ106" s="852"/>
      <c r="BK106" s="852"/>
      <c r="BL106" s="852"/>
      <c r="BM106" s="852"/>
      <c r="BN106" s="852"/>
      <c r="BO106" s="852"/>
      <c r="BP106" s="852"/>
      <c r="BQ106" s="852"/>
      <c r="BR106" s="852"/>
      <c r="BS106" s="852"/>
      <c r="BT106" s="852"/>
      <c r="BU106" s="852"/>
      <c r="BV106" s="852"/>
      <c r="BW106" s="852"/>
      <c r="BX106" s="852"/>
      <c r="BY106" s="852"/>
      <c r="BZ106" s="852"/>
      <c r="CA106" s="852"/>
      <c r="CB106" s="852"/>
      <c r="CC106" s="852"/>
      <c r="CD106" s="852"/>
      <c r="CE106" s="852"/>
      <c r="CF106" s="852"/>
      <c r="CG106" s="852"/>
      <c r="CH106" s="852"/>
    </row>
    <row r="107" spans="2:86" ht="28.5">
      <c r="B107" s="93"/>
      <c r="C107" s="56" t="s">
        <v>44</v>
      </c>
      <c r="D107" s="56" t="s">
        <v>45</v>
      </c>
      <c r="E107" s="56" t="s">
        <v>46</v>
      </c>
      <c r="F107" s="56" t="s">
        <v>47</v>
      </c>
      <c r="G107" s="56" t="s">
        <v>48</v>
      </c>
      <c r="H107" s="56" t="s">
        <v>49</v>
      </c>
      <c r="I107" s="56" t="s">
        <v>50</v>
      </c>
      <c r="J107" s="56" t="s">
        <v>51</v>
      </c>
      <c r="K107" s="56" t="s">
        <v>52</v>
      </c>
      <c r="L107" s="56" t="s">
        <v>53</v>
      </c>
      <c r="M107" s="56" t="s">
        <v>54</v>
      </c>
      <c r="N107" s="56" t="s">
        <v>55</v>
      </c>
      <c r="O107" s="81" t="s">
        <v>42</v>
      </c>
      <c r="P107" s="1270" t="str">
        <f t="shared" ref="P107:W107" si="31">P7</f>
        <v>Budget19</v>
      </c>
      <c r="Q107" s="1270" t="str">
        <f t="shared" si="31"/>
        <v>Budget17</v>
      </c>
      <c r="R107" s="1270" t="str">
        <f t="shared" si="31"/>
        <v>Budget16</v>
      </c>
      <c r="S107" s="1270" t="str">
        <f t="shared" si="31"/>
        <v>Budget15</v>
      </c>
      <c r="T107" s="1270" t="str">
        <f t="shared" si="31"/>
        <v>Budget14</v>
      </c>
      <c r="U107" s="1270" t="str">
        <f t="shared" si="31"/>
        <v>Budget13</v>
      </c>
      <c r="V107" s="1270" t="str">
        <f t="shared" si="31"/>
        <v>Budget12</v>
      </c>
      <c r="W107" s="1270" t="str">
        <f t="shared" si="31"/>
        <v>Budget11</v>
      </c>
      <c r="X107" s="82" t="s">
        <v>80</v>
      </c>
      <c r="Y107" s="1384"/>
      <c r="Z107" s="1383"/>
      <c r="AA107" s="852"/>
      <c r="AB107" s="852"/>
      <c r="AC107" s="852"/>
      <c r="AD107" s="852"/>
      <c r="AE107" s="852"/>
      <c r="AF107" s="852"/>
      <c r="AG107" s="852"/>
      <c r="AH107" s="852"/>
      <c r="AI107" s="852"/>
      <c r="AJ107" s="852"/>
      <c r="AK107" s="852"/>
      <c r="AL107" s="852"/>
      <c r="AM107" s="852"/>
      <c r="AN107" s="852"/>
      <c r="AO107" s="852"/>
      <c r="AP107" s="852"/>
      <c r="AQ107" s="852"/>
      <c r="AR107" s="852"/>
      <c r="AS107" s="852"/>
      <c r="AT107" s="852"/>
      <c r="AU107" s="852"/>
      <c r="AV107" s="852"/>
      <c r="AW107" s="852"/>
      <c r="AX107" s="852"/>
      <c r="AY107" s="852"/>
      <c r="AZ107" s="852"/>
      <c r="BA107" s="852"/>
      <c r="BB107" s="852"/>
      <c r="BC107" s="852"/>
      <c r="BD107" s="852"/>
      <c r="BE107" s="852"/>
      <c r="BF107" s="852"/>
      <c r="BG107" s="852"/>
      <c r="BH107" s="852"/>
      <c r="BI107" s="852"/>
      <c r="BJ107" s="852"/>
      <c r="BK107" s="852"/>
      <c r="BL107" s="852"/>
      <c r="BM107" s="852"/>
      <c r="BN107" s="852"/>
      <c r="BO107" s="852"/>
      <c r="BP107" s="852"/>
      <c r="BQ107" s="852"/>
      <c r="BR107" s="852"/>
      <c r="BS107" s="852"/>
      <c r="BT107" s="852"/>
      <c r="BU107" s="852"/>
      <c r="BV107" s="852"/>
      <c r="BW107" s="852"/>
      <c r="BX107" s="852"/>
      <c r="BY107" s="852"/>
      <c r="BZ107" s="852"/>
      <c r="CA107" s="852"/>
      <c r="CB107" s="852"/>
      <c r="CC107" s="852"/>
      <c r="CD107" s="852"/>
      <c r="CE107" s="852"/>
      <c r="CF107" s="852"/>
      <c r="CG107" s="852"/>
      <c r="CH107" s="852"/>
    </row>
    <row r="108" spans="2:86">
      <c r="B108" s="328" t="s">
        <v>84</v>
      </c>
      <c r="C108" s="1262">
        <f t="shared" ref="C108:N108" si="32">IF(C15=0," ",C40/C15)</f>
        <v>2.7606410139689901</v>
      </c>
      <c r="D108" s="95">
        <f t="shared" si="32"/>
        <v>2.7147700162780404</v>
      </c>
      <c r="E108" s="95">
        <f t="shared" si="32"/>
        <v>2.7629694673171685</v>
      </c>
      <c r="F108" s="95">
        <f t="shared" si="32"/>
        <v>2.5235017270492817</v>
      </c>
      <c r="G108" s="95">
        <f t="shared" si="32"/>
        <v>2.5981935268692529</v>
      </c>
      <c r="H108" s="95">
        <f t="shared" si="32"/>
        <v>2.6303144068332105</v>
      </c>
      <c r="I108" s="95">
        <f t="shared" si="32"/>
        <v>2.5024025069185694</v>
      </c>
      <c r="J108" s="95">
        <f t="shared" si="32"/>
        <v>2.6343381017845582</v>
      </c>
      <c r="K108" s="1262">
        <f t="shared" si="32"/>
        <v>2.8677235358070878</v>
      </c>
      <c r="L108" s="95">
        <f t="shared" si="32"/>
        <v>2.6487782903221735</v>
      </c>
      <c r="M108" s="95">
        <f t="shared" si="32"/>
        <v>2.6325272215260505</v>
      </c>
      <c r="N108" s="95">
        <f t="shared" si="32"/>
        <v>2.9032823867534412</v>
      </c>
      <c r="O108" s="94">
        <f>IF($O$15=0," ",O40/$O$15)</f>
        <v>2.676978979656627</v>
      </c>
      <c r="P108" s="398">
        <v>2.5335715297772614</v>
      </c>
      <c r="Q108" s="398">
        <v>2.73</v>
      </c>
      <c r="R108" s="398">
        <v>2.7</v>
      </c>
      <c r="S108" s="398">
        <v>2.78</v>
      </c>
      <c r="T108" s="398">
        <v>2.6259235787717699</v>
      </c>
      <c r="U108" s="398">
        <v>2.556</v>
      </c>
      <c r="V108" s="398">
        <v>2.6459999999999999</v>
      </c>
      <c r="W108" s="398">
        <v>3.17</v>
      </c>
      <c r="X108" s="398">
        <v>3.3</v>
      </c>
      <c r="Y108" s="1384"/>
      <c r="Z108" s="1383"/>
      <c r="AA108" s="852"/>
      <c r="AB108" s="852"/>
      <c r="AC108" s="852"/>
      <c r="AD108" s="852"/>
      <c r="AE108" s="852"/>
      <c r="AF108" s="852"/>
      <c r="AG108" s="852"/>
      <c r="AH108" s="852"/>
      <c r="AI108" s="852"/>
      <c r="AJ108" s="852"/>
      <c r="AK108" s="852"/>
      <c r="AL108" s="852"/>
      <c r="AM108" s="852"/>
      <c r="AN108" s="852"/>
      <c r="AO108" s="852"/>
      <c r="AP108" s="852"/>
      <c r="AQ108" s="852"/>
      <c r="AR108" s="852"/>
      <c r="AS108" s="852"/>
      <c r="AT108" s="852"/>
      <c r="AU108" s="852"/>
      <c r="AV108" s="852"/>
      <c r="AW108" s="852"/>
      <c r="AX108" s="852"/>
      <c r="AY108" s="852"/>
      <c r="AZ108" s="852"/>
      <c r="BA108" s="852"/>
      <c r="BB108" s="852"/>
      <c r="BC108" s="852"/>
      <c r="BD108" s="852"/>
      <c r="BE108" s="852"/>
      <c r="BF108" s="852"/>
      <c r="BG108" s="852"/>
      <c r="BH108" s="852"/>
      <c r="BI108" s="852"/>
      <c r="BJ108" s="852"/>
      <c r="BK108" s="852"/>
      <c r="BL108" s="852"/>
      <c r="BM108" s="852"/>
      <c r="BN108" s="852"/>
      <c r="BO108" s="852"/>
      <c r="BP108" s="852"/>
      <c r="BQ108" s="852"/>
      <c r="BR108" s="852"/>
      <c r="BS108" s="852"/>
      <c r="BT108" s="852"/>
      <c r="BU108" s="852"/>
      <c r="BV108" s="852"/>
      <c r="BW108" s="852"/>
      <c r="BX108" s="852"/>
      <c r="BY108" s="852"/>
      <c r="BZ108" s="852"/>
      <c r="CA108" s="852"/>
      <c r="CB108" s="852"/>
      <c r="CC108" s="852"/>
      <c r="CD108" s="852"/>
      <c r="CE108" s="852"/>
      <c r="CF108" s="852"/>
      <c r="CG108" s="852"/>
      <c r="CH108" s="852"/>
    </row>
    <row r="109" spans="2:86">
      <c r="B109" s="328" t="s">
        <v>85</v>
      </c>
      <c r="C109" s="95">
        <f t="shared" ref="C109:H109" si="33">IF(C$15=0," ",C$45/C$15)</f>
        <v>1.4889964678391275E-3</v>
      </c>
      <c r="D109" s="95">
        <f t="shared" si="33"/>
        <v>7.8900396110700402E-4</v>
      </c>
      <c r="E109" s="95">
        <f t="shared" si="33"/>
        <v>6.9520689863144104E-4</v>
      </c>
      <c r="F109" s="95">
        <f t="shared" si="33"/>
        <v>3.6483370013309696E-4</v>
      </c>
      <c r="G109" s="95">
        <f t="shared" si="33"/>
        <v>6.3408835740089728E-4</v>
      </c>
      <c r="H109" s="95">
        <f t="shared" si="33"/>
        <v>2.5371785256066829E-3</v>
      </c>
      <c r="I109" s="95">
        <f t="shared" ref="I109:N109" si="34">IF(I$15=0," ",I45/I$15)</f>
        <v>2.499256521507631E-3</v>
      </c>
      <c r="J109" s="95">
        <f t="shared" si="34"/>
        <v>3.7738431200973741E-4</v>
      </c>
      <c r="K109" s="95">
        <f t="shared" si="34"/>
        <v>5.704772358816044E-4</v>
      </c>
      <c r="L109" s="95">
        <f t="shared" si="34"/>
        <v>5.4942201926275007E-4</v>
      </c>
      <c r="M109" s="95">
        <f t="shared" si="34"/>
        <v>4.8671074026647063E-4</v>
      </c>
      <c r="N109" s="95">
        <f t="shared" si="34"/>
        <v>2.1693662873602452E-3</v>
      </c>
      <c r="O109" s="94">
        <f>IF($O$15=0," ",$O$45/$O$15)</f>
        <v>1.1103274009236946E-3</v>
      </c>
      <c r="P109" s="398">
        <v>3.0000000000000001E-3</v>
      </c>
      <c r="Q109" s="398">
        <v>4.0000000000000001E-3</v>
      </c>
      <c r="R109" s="398">
        <v>0.01</v>
      </c>
      <c r="S109" s="398">
        <v>1.7000000000000001E-2</v>
      </c>
      <c r="T109" s="398">
        <v>3.5744917801605797E-2</v>
      </c>
      <c r="U109" s="398">
        <v>3.9E-2</v>
      </c>
      <c r="V109" s="398">
        <v>4.2000000000000003E-2</v>
      </c>
      <c r="W109" s="398">
        <v>3.5400000000000001E-2</v>
      </c>
      <c r="X109" s="398">
        <v>0.24</v>
      </c>
      <c r="Y109" s="1384"/>
      <c r="Z109" s="1383"/>
      <c r="AA109" s="852"/>
      <c r="AB109" s="852"/>
      <c r="AC109" s="852"/>
      <c r="AD109" s="852"/>
      <c r="AE109" s="852"/>
      <c r="AF109" s="852"/>
      <c r="AG109" s="852"/>
      <c r="AH109" s="852"/>
      <c r="AI109" s="852"/>
      <c r="AJ109" s="852"/>
      <c r="AK109" s="852"/>
      <c r="AL109" s="852"/>
      <c r="AM109" s="852"/>
      <c r="AN109" s="852"/>
      <c r="AO109" s="852"/>
      <c r="AP109" s="852"/>
      <c r="AQ109" s="852"/>
      <c r="AR109" s="852"/>
      <c r="AS109" s="852"/>
      <c r="AT109" s="852"/>
      <c r="AU109" s="852"/>
      <c r="AV109" s="852"/>
      <c r="AW109" s="852"/>
      <c r="AX109" s="852"/>
      <c r="AY109" s="852"/>
      <c r="AZ109" s="852"/>
      <c r="BA109" s="852"/>
      <c r="BB109" s="852"/>
      <c r="BC109" s="852"/>
      <c r="BD109" s="852"/>
      <c r="BE109" s="852"/>
      <c r="BF109" s="852"/>
      <c r="BG109" s="852"/>
      <c r="BH109" s="852"/>
      <c r="BI109" s="852"/>
      <c r="BJ109" s="852"/>
      <c r="BK109" s="852"/>
      <c r="BL109" s="852"/>
      <c r="BM109" s="852"/>
      <c r="BN109" s="852"/>
      <c r="BO109" s="852"/>
      <c r="BP109" s="852"/>
      <c r="BQ109" s="852"/>
      <c r="BR109" s="852"/>
      <c r="BS109" s="852"/>
      <c r="BT109" s="852"/>
      <c r="BU109" s="852"/>
      <c r="BV109" s="852"/>
      <c r="BW109" s="852"/>
      <c r="BX109" s="852"/>
      <c r="BY109" s="852"/>
      <c r="BZ109" s="852"/>
      <c r="CA109" s="852"/>
      <c r="CB109" s="852"/>
      <c r="CC109" s="852"/>
      <c r="CD109" s="852"/>
      <c r="CE109" s="852"/>
      <c r="CF109" s="852"/>
      <c r="CG109" s="852"/>
      <c r="CH109" s="852"/>
    </row>
    <row r="110" spans="2:86">
      <c r="B110" s="328" t="s">
        <v>86</v>
      </c>
      <c r="C110" s="336">
        <f t="shared" ref="C110:N110" si="35">IF(C$15=0," ",C51/C$15)</f>
        <v>6.5972373408911274E-6</v>
      </c>
      <c r="D110" s="336">
        <f t="shared" si="35"/>
        <v>3.8463029058599083E-4</v>
      </c>
      <c r="E110" s="336">
        <f t="shared" si="35"/>
        <v>3.0869261543709506E-4</v>
      </c>
      <c r="F110" s="336">
        <f t="shared" si="35"/>
        <v>4.9675027542106639E-4</v>
      </c>
      <c r="G110" s="336">
        <f t="shared" si="35"/>
        <v>8.2929190881279424E-4</v>
      </c>
      <c r="H110" s="336">
        <f t="shared" si="35"/>
        <v>1.4220288087211902E-2</v>
      </c>
      <c r="I110" s="336">
        <f t="shared" si="35"/>
        <v>6.1069128565287775E-3</v>
      </c>
      <c r="J110" s="336">
        <f t="shared" si="35"/>
        <v>6.3429593980098174E-3</v>
      </c>
      <c r="K110" s="336">
        <f t="shared" si="35"/>
        <v>6.966663118271499E-3</v>
      </c>
      <c r="L110" s="336">
        <f t="shared" si="35"/>
        <v>4.9735673978727616E-3</v>
      </c>
      <c r="M110" s="336">
        <f t="shared" si="35"/>
        <v>1.3559349918972944E-3</v>
      </c>
      <c r="N110" s="336">
        <f t="shared" si="35"/>
        <v>3.7477986208378404E-3</v>
      </c>
      <c r="O110" s="1350">
        <f>IF($O$15=0," ",O51/$O$15)</f>
        <v>3.7747305827366012E-3</v>
      </c>
      <c r="P110" s="398">
        <v>7.460867507966578E-3</v>
      </c>
      <c r="Q110" s="398">
        <v>0.01</v>
      </c>
      <c r="R110" s="398">
        <v>0.02</v>
      </c>
      <c r="S110" s="398">
        <v>0.02</v>
      </c>
      <c r="T110" s="398">
        <v>5.8999999999999999E-3</v>
      </c>
      <c r="U110" s="398">
        <v>4.7E-2</v>
      </c>
      <c r="V110" s="398">
        <v>6.4000000000000001E-2</v>
      </c>
      <c r="W110" s="398">
        <v>0.16500000000000001</v>
      </c>
      <c r="X110" s="398">
        <v>0.11</v>
      </c>
      <c r="Y110" s="1384"/>
      <c r="Z110" s="1383"/>
      <c r="AA110" s="852"/>
      <c r="AB110" s="852"/>
      <c r="AC110" s="852"/>
      <c r="AD110" s="852"/>
      <c r="AE110" s="852"/>
      <c r="AF110" s="852"/>
      <c r="AG110" s="852"/>
      <c r="AH110" s="852"/>
      <c r="AI110" s="852"/>
      <c r="AJ110" s="852"/>
      <c r="AK110" s="852"/>
      <c r="AL110" s="852"/>
      <c r="AM110" s="852"/>
      <c r="AN110" s="852"/>
      <c r="AO110" s="852"/>
      <c r="AP110" s="852"/>
      <c r="AQ110" s="852"/>
      <c r="AR110" s="852"/>
      <c r="AS110" s="852"/>
      <c r="AT110" s="852"/>
      <c r="AU110" s="852"/>
      <c r="AV110" s="852"/>
      <c r="AW110" s="852"/>
      <c r="AX110" s="852"/>
      <c r="AY110" s="852"/>
      <c r="AZ110" s="852"/>
      <c r="BA110" s="852"/>
      <c r="BB110" s="852"/>
      <c r="BC110" s="852"/>
      <c r="BD110" s="852"/>
      <c r="BE110" s="852"/>
      <c r="BF110" s="852"/>
      <c r="BG110" s="852"/>
      <c r="BH110" s="852"/>
      <c r="BI110" s="852"/>
      <c r="BJ110" s="852"/>
      <c r="BK110" s="852"/>
      <c r="BL110" s="852"/>
      <c r="BM110" s="852"/>
      <c r="BN110" s="852"/>
      <c r="BO110" s="852"/>
      <c r="BP110" s="852"/>
      <c r="BQ110" s="852"/>
      <c r="BR110" s="852"/>
      <c r="BS110" s="852"/>
      <c r="BT110" s="852"/>
      <c r="BU110" s="852"/>
      <c r="BV110" s="852"/>
      <c r="BW110" s="852"/>
      <c r="BX110" s="852"/>
      <c r="BY110" s="852"/>
      <c r="BZ110" s="852"/>
      <c r="CA110" s="852"/>
      <c r="CB110" s="852"/>
      <c r="CC110" s="852"/>
      <c r="CD110" s="852"/>
      <c r="CE110" s="852"/>
      <c r="CF110" s="852"/>
      <c r="CG110" s="852"/>
      <c r="CH110" s="852"/>
    </row>
    <row r="111" spans="2:86">
      <c r="B111" s="328" t="s">
        <v>87</v>
      </c>
      <c r="C111" s="76">
        <f t="shared" ref="C111:N111" si="36">IF(C$15=0," ",C56/C$15)</f>
        <v>0</v>
      </c>
      <c r="D111" s="76">
        <f t="shared" si="36"/>
        <v>0</v>
      </c>
      <c r="E111" s="76">
        <f t="shared" si="36"/>
        <v>0</v>
      </c>
      <c r="F111" s="76">
        <f t="shared" si="36"/>
        <v>0</v>
      </c>
      <c r="G111" s="76">
        <f t="shared" si="36"/>
        <v>0</v>
      </c>
      <c r="H111" s="76">
        <f t="shared" si="36"/>
        <v>0</v>
      </c>
      <c r="I111" s="76">
        <f t="shared" si="36"/>
        <v>0</v>
      </c>
      <c r="J111" s="76">
        <f t="shared" si="36"/>
        <v>0</v>
      </c>
      <c r="K111" s="76">
        <f t="shared" si="36"/>
        <v>0</v>
      </c>
      <c r="L111" s="76">
        <f t="shared" si="36"/>
        <v>0</v>
      </c>
      <c r="M111" s="76">
        <f t="shared" si="36"/>
        <v>0</v>
      </c>
      <c r="N111" s="76">
        <f t="shared" si="36"/>
        <v>0</v>
      </c>
      <c r="O111" s="94">
        <f>IF($O$15=0," ",O56/$O$15)</f>
        <v>0</v>
      </c>
      <c r="P111" s="398">
        <v>0</v>
      </c>
      <c r="Q111" s="398">
        <v>0</v>
      </c>
      <c r="R111" s="398">
        <v>0</v>
      </c>
      <c r="S111" s="398">
        <v>0</v>
      </c>
      <c r="T111" s="398">
        <v>0</v>
      </c>
      <c r="U111" s="398">
        <v>0</v>
      </c>
      <c r="V111" s="398">
        <v>0</v>
      </c>
      <c r="W111" s="398">
        <v>5.0000000000000001E-3</v>
      </c>
      <c r="X111" s="398">
        <v>0</v>
      </c>
      <c r="Y111" s="1384"/>
      <c r="Z111" s="1383"/>
      <c r="AA111" s="852"/>
      <c r="AB111" s="852"/>
      <c r="AC111" s="852"/>
      <c r="AD111" s="852"/>
      <c r="AE111" s="852"/>
      <c r="AF111" s="852"/>
      <c r="AG111" s="852"/>
      <c r="AH111" s="852"/>
      <c r="AI111" s="852"/>
      <c r="AJ111" s="852"/>
      <c r="AK111" s="852"/>
      <c r="AL111" s="852"/>
      <c r="AM111" s="852"/>
      <c r="AN111" s="852"/>
      <c r="AO111" s="852"/>
      <c r="AP111" s="852"/>
      <c r="AQ111" s="852"/>
      <c r="AR111" s="852"/>
      <c r="AS111" s="852"/>
      <c r="AT111" s="852"/>
      <c r="AU111" s="852"/>
      <c r="AV111" s="852"/>
      <c r="AW111" s="852"/>
      <c r="AX111" s="852"/>
      <c r="AY111" s="852"/>
      <c r="AZ111" s="852"/>
      <c r="BA111" s="852"/>
      <c r="BB111" s="852"/>
      <c r="BC111" s="852"/>
      <c r="BD111" s="852"/>
      <c r="BE111" s="852"/>
      <c r="BF111" s="852"/>
      <c r="BG111" s="852"/>
      <c r="BH111" s="852"/>
      <c r="BI111" s="852"/>
      <c r="BJ111" s="852"/>
      <c r="BK111" s="852"/>
      <c r="BL111" s="852"/>
      <c r="BM111" s="852"/>
      <c r="BN111" s="852"/>
      <c r="BO111" s="852"/>
      <c r="BP111" s="852"/>
      <c r="BQ111" s="852"/>
      <c r="BR111" s="852"/>
      <c r="BS111" s="852"/>
      <c r="BT111" s="852"/>
      <c r="BU111" s="852"/>
      <c r="BV111" s="852"/>
      <c r="BW111" s="852"/>
      <c r="BX111" s="852"/>
      <c r="BY111" s="852"/>
      <c r="BZ111" s="852"/>
      <c r="CA111" s="852"/>
      <c r="CB111" s="852"/>
      <c r="CC111" s="852"/>
      <c r="CD111" s="852"/>
      <c r="CE111" s="852"/>
      <c r="CF111" s="852"/>
      <c r="CG111" s="852"/>
      <c r="CH111" s="852"/>
    </row>
    <row r="112" spans="2:86">
      <c r="B112" s="328" t="s">
        <v>88</v>
      </c>
      <c r="C112" s="76">
        <f t="shared" ref="C112:N112" si="37">IF(C$15=0," ",C60/C$15)</f>
        <v>2.6271518538896648</v>
      </c>
      <c r="D112" s="76">
        <f t="shared" si="37"/>
        <v>3.1553577317635155</v>
      </c>
      <c r="E112" s="76">
        <f t="shared" si="37"/>
        <v>2.6654569720756398</v>
      </c>
      <c r="F112" s="76">
        <f t="shared" si="37"/>
        <v>2.8935915937584555</v>
      </c>
      <c r="G112" s="76">
        <f t="shared" si="37"/>
        <v>2.8685872886291355</v>
      </c>
      <c r="H112" s="76">
        <f t="shared" si="37"/>
        <v>3.0139125847901154</v>
      </c>
      <c r="I112" s="76">
        <f t="shared" si="37"/>
        <v>2.6218551509098997</v>
      </c>
      <c r="J112" s="76">
        <f t="shared" si="37"/>
        <v>2.7082508237138354</v>
      </c>
      <c r="K112" s="76">
        <f t="shared" si="37"/>
        <v>2.2603312397801849</v>
      </c>
      <c r="L112" s="76">
        <f t="shared" si="37"/>
        <v>2.3322017438360185</v>
      </c>
      <c r="M112" s="76">
        <f t="shared" si="37"/>
        <v>2.6088381186367711</v>
      </c>
      <c r="N112" s="76">
        <f t="shared" si="37"/>
        <v>2.9031329933381604</v>
      </c>
      <c r="O112" s="94">
        <f>IF($O$15=0," ",O60/$O$15)</f>
        <v>2.7238811119879629</v>
      </c>
      <c r="P112" s="398">
        <v>2.5500823438258449</v>
      </c>
      <c r="Q112" s="398">
        <v>2.9</v>
      </c>
      <c r="R112" s="398">
        <v>3.1</v>
      </c>
      <c r="S112" s="398">
        <v>3.1</v>
      </c>
      <c r="T112" s="398">
        <v>2.95</v>
      </c>
      <c r="U112" s="398">
        <v>2.9319999999999999</v>
      </c>
      <c r="V112" s="398">
        <v>3.0219999999999998</v>
      </c>
      <c r="W112" s="398">
        <v>5.3120000000000003</v>
      </c>
      <c r="X112" s="398">
        <v>6.83</v>
      </c>
      <c r="Y112" s="1384"/>
      <c r="Z112" s="1383"/>
      <c r="AA112" s="852"/>
      <c r="AB112" s="852"/>
      <c r="AC112" s="852"/>
      <c r="AD112" s="852"/>
      <c r="AE112" s="852"/>
      <c r="AF112" s="852"/>
      <c r="AG112" s="852"/>
      <c r="AH112" s="852"/>
      <c r="AI112" s="852"/>
      <c r="AJ112" s="852"/>
      <c r="AK112" s="852"/>
      <c r="AL112" s="852"/>
      <c r="AM112" s="852"/>
      <c r="AN112" s="852"/>
      <c r="AO112" s="852"/>
      <c r="AP112" s="852"/>
      <c r="AQ112" s="852"/>
      <c r="AR112" s="852"/>
      <c r="AS112" s="852"/>
      <c r="AT112" s="852"/>
      <c r="AU112" s="852"/>
      <c r="AV112" s="852"/>
      <c r="AW112" s="852"/>
      <c r="AX112" s="852"/>
      <c r="AY112" s="852"/>
      <c r="AZ112" s="852"/>
      <c r="BA112" s="852"/>
      <c r="BB112" s="852"/>
      <c r="BC112" s="852"/>
      <c r="BD112" s="852"/>
      <c r="BE112" s="852"/>
      <c r="BF112" s="852"/>
      <c r="BG112" s="852"/>
      <c r="BH112" s="852"/>
      <c r="BI112" s="852"/>
      <c r="BJ112" s="852"/>
      <c r="BK112" s="852"/>
      <c r="BL112" s="852"/>
      <c r="BM112" s="852"/>
      <c r="BN112" s="852"/>
      <c r="BO112" s="852"/>
      <c r="BP112" s="852"/>
      <c r="BQ112" s="852"/>
      <c r="BR112" s="852"/>
      <c r="BS112" s="852"/>
      <c r="BT112" s="852"/>
      <c r="BU112" s="852"/>
      <c r="BV112" s="852"/>
      <c r="BW112" s="852"/>
      <c r="BX112" s="852"/>
      <c r="BY112" s="852"/>
      <c r="BZ112" s="852"/>
      <c r="CA112" s="852"/>
      <c r="CB112" s="852"/>
      <c r="CC112" s="852"/>
      <c r="CD112" s="852"/>
      <c r="CE112" s="852"/>
      <c r="CF112" s="852"/>
      <c r="CG112" s="852"/>
      <c r="CH112" s="852"/>
    </row>
    <row r="113" spans="2:86">
      <c r="B113" s="328" t="s">
        <v>89</v>
      </c>
      <c r="C113" s="1203">
        <f t="shared" ref="C113:H113" si="38">IF(C$15=0," ",C$66/C$15)</f>
        <v>39.418691028944714</v>
      </c>
      <c r="D113" s="1203">
        <f t="shared" si="38"/>
        <v>38.793069513028321</v>
      </c>
      <c r="E113" s="1203">
        <f t="shared" si="38"/>
        <v>39.874071571290798</v>
      </c>
      <c r="F113" s="1203">
        <f t="shared" si="38"/>
        <v>40.615596944887614</v>
      </c>
      <c r="G113" s="1203">
        <f t="shared" si="38"/>
        <v>42.53905525359334</v>
      </c>
      <c r="H113" s="1203">
        <f t="shared" si="38"/>
        <v>44.573569935189987</v>
      </c>
      <c r="I113" s="1203">
        <f t="shared" ref="I113:N113" si="39">IF(I$15=0," ",I66/I$15)</f>
        <v>42.803128193873199</v>
      </c>
      <c r="J113" s="1203">
        <f t="shared" si="39"/>
        <v>45.665782647371692</v>
      </c>
      <c r="K113" s="1203">
        <f t="shared" si="39"/>
        <v>46.603924059689817</v>
      </c>
      <c r="L113" s="1203">
        <f t="shared" si="39"/>
        <v>44.116763756951983</v>
      </c>
      <c r="M113" s="1203">
        <f t="shared" si="39"/>
        <v>38.275949223045131</v>
      </c>
      <c r="N113" s="1203">
        <f t="shared" si="39"/>
        <v>40.022575004979778</v>
      </c>
      <c r="O113" s="1204">
        <f>IF($O$15=0," ",$O$66/$O$15)</f>
        <v>41.892917675112756</v>
      </c>
      <c r="P113" s="1180">
        <v>36.114849630798616</v>
      </c>
      <c r="Q113" s="1180">
        <v>37.5</v>
      </c>
      <c r="R113" s="399">
        <v>39</v>
      </c>
      <c r="S113" s="1180">
        <v>40.5</v>
      </c>
      <c r="T113" s="399">
        <v>41.181045294797606</v>
      </c>
      <c r="U113" s="399">
        <v>43</v>
      </c>
      <c r="V113" s="399">
        <v>45.069000000000003</v>
      </c>
      <c r="W113" s="399">
        <v>45</v>
      </c>
      <c r="X113" s="399">
        <v>67.790000000000006</v>
      </c>
      <c r="Y113" s="1384"/>
      <c r="Z113" s="1383"/>
      <c r="AA113" s="852"/>
      <c r="AB113" s="852"/>
      <c r="AC113" s="852"/>
      <c r="AD113" s="852"/>
      <c r="AE113" s="852"/>
      <c r="AF113" s="852"/>
      <c r="AG113" s="852"/>
      <c r="AH113" s="852"/>
      <c r="AI113" s="852"/>
      <c r="AJ113" s="852"/>
      <c r="AK113" s="852"/>
      <c r="AL113" s="852"/>
      <c r="AM113" s="852"/>
      <c r="AN113" s="852"/>
      <c r="AO113" s="852"/>
      <c r="AP113" s="852"/>
      <c r="AQ113" s="852"/>
      <c r="AR113" s="852"/>
      <c r="AS113" s="852"/>
      <c r="AT113" s="852"/>
      <c r="AU113" s="852"/>
      <c r="AV113" s="852"/>
      <c r="AW113" s="852"/>
      <c r="AX113" s="852"/>
      <c r="AY113" s="852"/>
      <c r="AZ113" s="852"/>
      <c r="BA113" s="852"/>
      <c r="BB113" s="852"/>
      <c r="BC113" s="852"/>
      <c r="BD113" s="852"/>
      <c r="BE113" s="852"/>
      <c r="BF113" s="852"/>
      <c r="BG113" s="852"/>
      <c r="BH113" s="852"/>
      <c r="BI113" s="852"/>
      <c r="BJ113" s="852"/>
      <c r="BK113" s="852"/>
      <c r="BL113" s="852"/>
      <c r="BM113" s="852"/>
      <c r="BN113" s="852"/>
      <c r="BO113" s="852"/>
      <c r="BP113" s="852"/>
      <c r="BQ113" s="852"/>
      <c r="BR113" s="852"/>
      <c r="BS113" s="852"/>
      <c r="BT113" s="852"/>
      <c r="BU113" s="852"/>
      <c r="BV113" s="852"/>
      <c r="BW113" s="852"/>
      <c r="BX113" s="852"/>
      <c r="BY113" s="852"/>
      <c r="BZ113" s="852"/>
      <c r="CA113" s="852"/>
      <c r="CB113" s="852"/>
      <c r="CC113" s="852"/>
      <c r="CD113" s="852"/>
      <c r="CE113" s="852"/>
      <c r="CF113" s="852"/>
      <c r="CG113" s="852"/>
      <c r="CH113" s="852"/>
    </row>
    <row r="114" spans="2:86">
      <c r="B114" s="334" t="s">
        <v>209</v>
      </c>
      <c r="C114" s="1205">
        <f t="shared" ref="C114:N114" si="40">IF(C$15=0," ",C73/C$15)</f>
        <v>291.39337610982022</v>
      </c>
      <c r="D114" s="1205">
        <f t="shared" si="40"/>
        <v>280.16477377264124</v>
      </c>
      <c r="E114" s="1205">
        <f t="shared" si="40"/>
        <v>290.95576032742167</v>
      </c>
      <c r="F114" s="1205">
        <f t="shared" si="40"/>
        <v>280.07506808039386</v>
      </c>
      <c r="G114" s="1205">
        <f t="shared" si="40"/>
        <v>288.48111599550913</v>
      </c>
      <c r="H114" s="1205">
        <f t="shared" si="40"/>
        <v>293.91159574380396</v>
      </c>
      <c r="I114" s="1205">
        <f t="shared" si="40"/>
        <v>288.40327398009902</v>
      </c>
      <c r="J114" s="1205">
        <f t="shared" si="40"/>
        <v>305.16028119969513</v>
      </c>
      <c r="K114" s="1205">
        <f t="shared" si="40"/>
        <v>328.82428288969663</v>
      </c>
      <c r="L114" s="1205">
        <f t="shared" si="40"/>
        <v>308.33725109358141</v>
      </c>
      <c r="M114" s="1205">
        <f t="shared" si="40"/>
        <v>291.51731730524028</v>
      </c>
      <c r="N114" s="1205">
        <f t="shared" si="40"/>
        <v>322.47422370754936</v>
      </c>
      <c r="O114" s="409">
        <f>IF($O$15=0," ",O73/$O$15)</f>
        <v>296.75767907158144</v>
      </c>
      <c r="P114" s="399">
        <v>288.21621999717598</v>
      </c>
      <c r="Q114" s="398">
        <v>304</v>
      </c>
      <c r="R114" s="398">
        <v>304</v>
      </c>
      <c r="S114" s="398">
        <v>304</v>
      </c>
      <c r="T114" s="398">
        <f>0.307682*1000</f>
        <v>307.68200000000002</v>
      </c>
      <c r="U114" s="398">
        <f>0.32*1000</f>
        <v>320</v>
      </c>
      <c r="V114" s="398">
        <f>0.34069*1000</f>
        <v>340.69</v>
      </c>
      <c r="W114" s="399">
        <f>0.368*1000</f>
        <v>368</v>
      </c>
      <c r="X114" s="399">
        <f>0.53333*1000</f>
        <v>533.32999999999993</v>
      </c>
      <c r="Y114" s="1384"/>
      <c r="Z114" s="1383"/>
      <c r="AA114" s="852"/>
      <c r="AB114" s="852"/>
      <c r="AC114" s="852"/>
      <c r="AD114" s="852"/>
      <c r="AE114" s="852"/>
      <c r="AF114" s="852"/>
      <c r="AG114" s="852"/>
      <c r="AH114" s="852"/>
      <c r="AI114" s="852"/>
      <c r="AJ114" s="852"/>
      <c r="AK114" s="852"/>
      <c r="AL114" s="852"/>
      <c r="AM114" s="852"/>
      <c r="AN114" s="852"/>
      <c r="AO114" s="852"/>
      <c r="AP114" s="852"/>
      <c r="AQ114" s="852"/>
      <c r="AR114" s="852"/>
      <c r="AS114" s="852"/>
      <c r="AT114" s="852"/>
      <c r="AU114" s="852"/>
      <c r="AV114" s="852"/>
      <c r="AW114" s="852"/>
      <c r="AX114" s="852"/>
      <c r="AY114" s="852"/>
      <c r="AZ114" s="852"/>
      <c r="BA114" s="852"/>
      <c r="BB114" s="852"/>
      <c r="BC114" s="852"/>
      <c r="BD114" s="852"/>
      <c r="BE114" s="852"/>
      <c r="BF114" s="852"/>
      <c r="BG114" s="852"/>
      <c r="BH114" s="852"/>
      <c r="BI114" s="852"/>
      <c r="BJ114" s="852"/>
      <c r="BK114" s="852"/>
      <c r="BL114" s="852"/>
      <c r="BM114" s="852"/>
      <c r="BN114" s="852"/>
      <c r="BO114" s="852"/>
      <c r="BP114" s="852"/>
      <c r="BQ114" s="852"/>
      <c r="BR114" s="852"/>
      <c r="BS114" s="852"/>
      <c r="BT114" s="852"/>
      <c r="BU114" s="852"/>
      <c r="BV114" s="852"/>
      <c r="BW114" s="852"/>
      <c r="BX114" s="852"/>
      <c r="BY114" s="852"/>
      <c r="BZ114" s="852"/>
      <c r="CA114" s="852"/>
      <c r="CB114" s="852"/>
      <c r="CC114" s="852"/>
      <c r="CD114" s="852"/>
      <c r="CE114" s="852"/>
      <c r="CF114" s="852"/>
      <c r="CG114" s="852"/>
      <c r="CH114" s="852"/>
    </row>
    <row r="115" spans="2:86" hidden="1" outlineLevel="1">
      <c r="B115" s="331" t="s">
        <v>90</v>
      </c>
      <c r="C115" s="96">
        <f t="shared" ref="C115:N115" si="41">IF(C$15=0," ",C78/C$15)</f>
        <v>0</v>
      </c>
      <c r="D115" s="96">
        <f t="shared" si="41"/>
        <v>0</v>
      </c>
      <c r="E115" s="96">
        <f t="shared" si="41"/>
        <v>0</v>
      </c>
      <c r="F115" s="96">
        <f t="shared" si="41"/>
        <v>0</v>
      </c>
      <c r="G115" s="96">
        <f t="shared" si="41"/>
        <v>0</v>
      </c>
      <c r="H115" s="96">
        <f t="shared" si="41"/>
        <v>0</v>
      </c>
      <c r="I115" s="96">
        <f t="shared" si="41"/>
        <v>0</v>
      </c>
      <c r="J115" s="96">
        <f t="shared" si="41"/>
        <v>0</v>
      </c>
      <c r="K115" s="96">
        <f t="shared" si="41"/>
        <v>0</v>
      </c>
      <c r="L115" s="96">
        <f t="shared" si="41"/>
        <v>0</v>
      </c>
      <c r="M115" s="96">
        <f t="shared" si="41"/>
        <v>0</v>
      </c>
      <c r="N115" s="96">
        <f t="shared" si="41"/>
        <v>0</v>
      </c>
      <c r="O115" s="94">
        <f t="shared" ref="O115:O121" si="42">IF($O$15=0," ",O78/$O$15)</f>
        <v>0</v>
      </c>
      <c r="P115" s="398"/>
      <c r="Q115" s="398"/>
      <c r="R115" s="398"/>
      <c r="S115" s="398"/>
      <c r="T115" s="398"/>
      <c r="U115" s="398">
        <v>0.15</v>
      </c>
      <c r="V115" s="398"/>
      <c r="W115" s="398">
        <v>0.12000000000000001</v>
      </c>
      <c r="X115" s="398"/>
      <c r="Y115" s="1384"/>
      <c r="Z115" s="1383"/>
      <c r="AA115" s="852"/>
      <c r="AB115" s="852"/>
      <c r="AC115" s="852"/>
      <c r="AD115" s="852"/>
      <c r="AE115" s="852"/>
      <c r="AF115" s="852"/>
      <c r="AG115" s="852"/>
      <c r="AH115" s="852"/>
      <c r="AI115" s="852"/>
      <c r="AJ115" s="852"/>
      <c r="AK115" s="852"/>
      <c r="AL115" s="852"/>
      <c r="AM115" s="852"/>
      <c r="AN115" s="852"/>
      <c r="AO115" s="852"/>
      <c r="AP115" s="852"/>
      <c r="AQ115" s="852"/>
      <c r="AR115" s="852"/>
      <c r="AS115" s="852"/>
      <c r="AT115" s="852"/>
      <c r="AU115" s="852"/>
      <c r="AV115" s="852"/>
      <c r="AW115" s="852"/>
      <c r="AX115" s="852"/>
      <c r="AY115" s="852"/>
      <c r="AZ115" s="852"/>
      <c r="BA115" s="852"/>
      <c r="BB115" s="852"/>
      <c r="BC115" s="852"/>
      <c r="BD115" s="852"/>
      <c r="BE115" s="852"/>
      <c r="BF115" s="852"/>
      <c r="BG115" s="852"/>
      <c r="BH115" s="852"/>
      <c r="BI115" s="852"/>
      <c r="BJ115" s="852"/>
      <c r="BK115" s="852"/>
      <c r="BL115" s="852"/>
      <c r="BM115" s="852"/>
      <c r="BN115" s="852"/>
      <c r="BO115" s="852"/>
      <c r="BP115" s="852"/>
      <c r="BQ115" s="852"/>
      <c r="BR115" s="852"/>
      <c r="BS115" s="852"/>
      <c r="BT115" s="852"/>
      <c r="BU115" s="852"/>
      <c r="BV115" s="852"/>
      <c r="BW115" s="852"/>
      <c r="BX115" s="852"/>
      <c r="BY115" s="852"/>
      <c r="BZ115" s="852"/>
      <c r="CA115" s="852"/>
      <c r="CB115" s="852"/>
      <c r="CC115" s="852"/>
      <c r="CD115" s="852"/>
      <c r="CE115" s="852"/>
      <c r="CF115" s="852"/>
      <c r="CG115" s="852"/>
      <c r="CH115" s="852"/>
    </row>
    <row r="116" spans="2:86" hidden="1" outlineLevel="1">
      <c r="B116" s="331" t="s">
        <v>91</v>
      </c>
      <c r="C116" s="96">
        <f t="shared" ref="C116:N116" si="43">IF(C$15=0," ",C79/C$15)</f>
        <v>0</v>
      </c>
      <c r="D116" s="96">
        <f t="shared" si="43"/>
        <v>0</v>
      </c>
      <c r="E116" s="96">
        <f t="shared" si="43"/>
        <v>0</v>
      </c>
      <c r="F116" s="96">
        <f t="shared" si="43"/>
        <v>0</v>
      </c>
      <c r="G116" s="96">
        <f t="shared" si="43"/>
        <v>0</v>
      </c>
      <c r="H116" s="96">
        <f t="shared" si="43"/>
        <v>0</v>
      </c>
      <c r="I116" s="96">
        <f t="shared" si="43"/>
        <v>0</v>
      </c>
      <c r="J116" s="96">
        <f t="shared" si="43"/>
        <v>0</v>
      </c>
      <c r="K116" s="96">
        <f t="shared" si="43"/>
        <v>0</v>
      </c>
      <c r="L116" s="96">
        <f t="shared" si="43"/>
        <v>0</v>
      </c>
      <c r="M116" s="96">
        <f t="shared" si="43"/>
        <v>0</v>
      </c>
      <c r="N116" s="96">
        <f t="shared" si="43"/>
        <v>0</v>
      </c>
      <c r="O116" s="94">
        <f t="shared" si="42"/>
        <v>0</v>
      </c>
      <c r="P116" s="398"/>
      <c r="Q116" s="398"/>
      <c r="R116" s="398"/>
      <c r="S116" s="398"/>
      <c r="T116" s="398"/>
      <c r="U116" s="398">
        <v>6.7000000000000004E-2</v>
      </c>
      <c r="V116" s="398"/>
      <c r="W116" s="398">
        <v>6.7000000000000004E-2</v>
      </c>
      <c r="X116" s="398"/>
      <c r="Y116" s="1384"/>
      <c r="Z116" s="1383"/>
      <c r="AA116" s="852"/>
      <c r="AB116" s="852"/>
      <c r="AC116" s="852"/>
      <c r="AD116" s="852"/>
      <c r="AE116" s="852"/>
      <c r="AF116" s="852"/>
      <c r="AG116" s="852"/>
      <c r="AH116" s="852"/>
      <c r="AI116" s="852"/>
      <c r="AJ116" s="852"/>
      <c r="AK116" s="852"/>
      <c r="AL116" s="852"/>
      <c r="AM116" s="852"/>
      <c r="AN116" s="852"/>
      <c r="AO116" s="852"/>
      <c r="AP116" s="852"/>
      <c r="AQ116" s="852"/>
      <c r="AR116" s="852"/>
      <c r="AS116" s="852"/>
      <c r="AT116" s="852"/>
      <c r="AU116" s="852"/>
      <c r="AV116" s="852"/>
      <c r="AW116" s="852"/>
      <c r="AX116" s="852"/>
      <c r="AY116" s="852"/>
      <c r="AZ116" s="852"/>
      <c r="BA116" s="852"/>
      <c r="BB116" s="852"/>
      <c r="BC116" s="852"/>
      <c r="BD116" s="852"/>
      <c r="BE116" s="852"/>
      <c r="BF116" s="852"/>
      <c r="BG116" s="852"/>
      <c r="BH116" s="852"/>
      <c r="BI116" s="852"/>
      <c r="BJ116" s="852"/>
      <c r="BK116" s="852"/>
      <c r="BL116" s="852"/>
      <c r="BM116" s="852"/>
      <c r="BN116" s="852"/>
      <c r="BO116" s="852"/>
      <c r="BP116" s="852"/>
      <c r="BQ116" s="852"/>
      <c r="BR116" s="852"/>
      <c r="BS116" s="852"/>
      <c r="BT116" s="852"/>
      <c r="BU116" s="852"/>
      <c r="BV116" s="852"/>
      <c r="BW116" s="852"/>
      <c r="BX116" s="852"/>
      <c r="BY116" s="852"/>
      <c r="BZ116" s="852"/>
      <c r="CA116" s="852"/>
      <c r="CB116" s="852"/>
      <c r="CC116" s="852"/>
      <c r="CD116" s="852"/>
      <c r="CE116" s="852"/>
      <c r="CF116" s="852"/>
      <c r="CG116" s="852"/>
      <c r="CH116" s="852"/>
    </row>
    <row r="117" spans="2:86" hidden="1" outlineLevel="1">
      <c r="B117" s="332" t="s">
        <v>92</v>
      </c>
      <c r="C117" s="96">
        <f t="shared" ref="C117:N117" si="44">IF(C$15=0," ",C80/C$15)</f>
        <v>0</v>
      </c>
      <c r="D117" s="96">
        <f t="shared" si="44"/>
        <v>0</v>
      </c>
      <c r="E117" s="96">
        <f t="shared" si="44"/>
        <v>0</v>
      </c>
      <c r="F117" s="96">
        <f t="shared" si="44"/>
        <v>0</v>
      </c>
      <c r="G117" s="96">
        <f t="shared" si="44"/>
        <v>0</v>
      </c>
      <c r="H117" s="96">
        <f t="shared" si="44"/>
        <v>0</v>
      </c>
      <c r="I117" s="96">
        <f t="shared" si="44"/>
        <v>0</v>
      </c>
      <c r="J117" s="96">
        <f t="shared" si="44"/>
        <v>0</v>
      </c>
      <c r="K117" s="96">
        <f t="shared" si="44"/>
        <v>0</v>
      </c>
      <c r="L117" s="96">
        <f t="shared" si="44"/>
        <v>0</v>
      </c>
      <c r="M117" s="96">
        <f t="shared" si="44"/>
        <v>0</v>
      </c>
      <c r="N117" s="96">
        <f t="shared" si="44"/>
        <v>0</v>
      </c>
      <c r="O117" s="94">
        <f t="shared" si="42"/>
        <v>0</v>
      </c>
      <c r="P117" s="398"/>
      <c r="Q117" s="398"/>
      <c r="R117" s="398"/>
      <c r="S117" s="398"/>
      <c r="T117" s="398"/>
      <c r="U117" s="398"/>
      <c r="V117" s="398"/>
      <c r="W117" s="398">
        <v>0.2871565495207668</v>
      </c>
      <c r="X117" s="398"/>
      <c r="Y117" s="1384"/>
      <c r="Z117" s="1383"/>
      <c r="AA117" s="852"/>
      <c r="AB117" s="852"/>
      <c r="AC117" s="852"/>
      <c r="AD117" s="852"/>
      <c r="AE117" s="852"/>
      <c r="AF117" s="852"/>
      <c r="AG117" s="852"/>
      <c r="AH117" s="852"/>
      <c r="AI117" s="852"/>
      <c r="AJ117" s="852"/>
      <c r="AK117" s="852"/>
      <c r="AL117" s="852"/>
      <c r="AM117" s="852"/>
      <c r="AN117" s="852"/>
      <c r="AO117" s="852"/>
      <c r="AP117" s="852"/>
      <c r="AQ117" s="852"/>
      <c r="AR117" s="852"/>
      <c r="AS117" s="852"/>
      <c r="AT117" s="852"/>
      <c r="AU117" s="852"/>
      <c r="AV117" s="852"/>
      <c r="AW117" s="852"/>
      <c r="AX117" s="852"/>
      <c r="AY117" s="852"/>
      <c r="AZ117" s="852"/>
      <c r="BA117" s="852"/>
      <c r="BB117" s="852"/>
      <c r="BC117" s="852"/>
      <c r="BD117" s="852"/>
      <c r="BE117" s="852"/>
      <c r="BF117" s="852"/>
      <c r="BG117" s="852"/>
      <c r="BH117" s="852"/>
      <c r="BI117" s="852"/>
      <c r="BJ117" s="852"/>
      <c r="BK117" s="852"/>
      <c r="BL117" s="852"/>
      <c r="BM117" s="852"/>
      <c r="BN117" s="852"/>
      <c r="BO117" s="852"/>
      <c r="BP117" s="852"/>
      <c r="BQ117" s="852"/>
      <c r="BR117" s="852"/>
      <c r="BS117" s="852"/>
      <c r="BT117" s="852"/>
      <c r="BU117" s="852"/>
      <c r="BV117" s="852"/>
      <c r="BW117" s="852"/>
      <c r="BX117" s="852"/>
      <c r="BY117" s="852"/>
      <c r="BZ117" s="852"/>
      <c r="CA117" s="852"/>
      <c r="CB117" s="852"/>
      <c r="CC117" s="852"/>
      <c r="CD117" s="852"/>
      <c r="CE117" s="852"/>
      <c r="CF117" s="852"/>
      <c r="CG117" s="852"/>
      <c r="CH117" s="852"/>
    </row>
    <row r="118" spans="2:86" hidden="1" outlineLevel="1">
      <c r="B118" s="332" t="s">
        <v>93</v>
      </c>
      <c r="C118" s="96">
        <f t="shared" ref="C118:N118" si="45">IF(C$15=0," ",C81/C$15)</f>
        <v>0</v>
      </c>
      <c r="D118" s="96">
        <f t="shared" si="45"/>
        <v>0</v>
      </c>
      <c r="E118" s="96">
        <f t="shared" si="45"/>
        <v>0</v>
      </c>
      <c r="F118" s="96">
        <f t="shared" si="45"/>
        <v>0</v>
      </c>
      <c r="G118" s="96">
        <f t="shared" si="45"/>
        <v>0</v>
      </c>
      <c r="H118" s="96">
        <f t="shared" si="45"/>
        <v>0</v>
      </c>
      <c r="I118" s="96">
        <f t="shared" si="45"/>
        <v>0</v>
      </c>
      <c r="J118" s="96">
        <f t="shared" si="45"/>
        <v>0</v>
      </c>
      <c r="K118" s="96">
        <f t="shared" si="45"/>
        <v>0</v>
      </c>
      <c r="L118" s="96">
        <f t="shared" si="45"/>
        <v>0</v>
      </c>
      <c r="M118" s="96">
        <f t="shared" si="45"/>
        <v>0</v>
      </c>
      <c r="N118" s="96">
        <f t="shared" si="45"/>
        <v>0</v>
      </c>
      <c r="O118" s="94">
        <f t="shared" si="42"/>
        <v>0</v>
      </c>
      <c r="P118" s="398"/>
      <c r="Q118" s="398"/>
      <c r="R118" s="398"/>
      <c r="S118" s="398"/>
      <c r="T118" s="398"/>
      <c r="U118" s="398"/>
      <c r="V118" s="398"/>
      <c r="W118" s="398">
        <v>0.16477316293929711</v>
      </c>
      <c r="X118" s="398"/>
      <c r="Y118" s="1384"/>
      <c r="Z118" s="1383"/>
      <c r="AA118" s="852"/>
      <c r="AB118" s="852"/>
      <c r="AC118" s="852"/>
      <c r="AD118" s="852"/>
      <c r="AE118" s="852"/>
      <c r="AF118" s="852"/>
      <c r="AG118" s="852"/>
      <c r="AH118" s="852"/>
      <c r="AI118" s="852"/>
      <c r="AJ118" s="852"/>
      <c r="AK118" s="852"/>
      <c r="AL118" s="852"/>
      <c r="AM118" s="852"/>
      <c r="AN118" s="852"/>
      <c r="AO118" s="852"/>
      <c r="AP118" s="852"/>
      <c r="AQ118" s="852"/>
      <c r="AR118" s="852"/>
      <c r="AS118" s="852"/>
      <c r="AT118" s="852"/>
      <c r="AU118" s="852"/>
      <c r="AV118" s="852"/>
      <c r="AW118" s="852"/>
      <c r="AX118" s="852"/>
      <c r="AY118" s="852"/>
      <c r="AZ118" s="852"/>
      <c r="BA118" s="852"/>
      <c r="BB118" s="852"/>
      <c r="BC118" s="852"/>
      <c r="BD118" s="852"/>
      <c r="BE118" s="852"/>
      <c r="BF118" s="852"/>
      <c r="BG118" s="852"/>
      <c r="BH118" s="852"/>
      <c r="BI118" s="852"/>
      <c r="BJ118" s="852"/>
      <c r="BK118" s="852"/>
      <c r="BL118" s="852"/>
      <c r="BM118" s="852"/>
      <c r="BN118" s="852"/>
      <c r="BO118" s="852"/>
      <c r="BP118" s="852"/>
      <c r="BQ118" s="852"/>
      <c r="BR118" s="852"/>
      <c r="BS118" s="852"/>
      <c r="BT118" s="852"/>
      <c r="BU118" s="852"/>
      <c r="BV118" s="852"/>
      <c r="BW118" s="852"/>
      <c r="BX118" s="852"/>
      <c r="BY118" s="852"/>
      <c r="BZ118" s="852"/>
      <c r="CA118" s="852"/>
      <c r="CB118" s="852"/>
      <c r="CC118" s="852"/>
      <c r="CD118" s="852"/>
      <c r="CE118" s="852"/>
      <c r="CF118" s="852"/>
      <c r="CG118" s="852"/>
      <c r="CH118" s="852"/>
    </row>
    <row r="119" spans="2:86" hidden="1" outlineLevel="1">
      <c r="B119" s="332" t="s">
        <v>94</v>
      </c>
      <c r="C119" s="96">
        <f t="shared" ref="C119:N119" si="46">IF(C$15=0," ",C82/C$15)</f>
        <v>0</v>
      </c>
      <c r="D119" s="96">
        <f t="shared" si="46"/>
        <v>0</v>
      </c>
      <c r="E119" s="96">
        <f t="shared" si="46"/>
        <v>0</v>
      </c>
      <c r="F119" s="96">
        <f t="shared" si="46"/>
        <v>0</v>
      </c>
      <c r="G119" s="96">
        <f t="shared" si="46"/>
        <v>0</v>
      </c>
      <c r="H119" s="96">
        <f t="shared" si="46"/>
        <v>0</v>
      </c>
      <c r="I119" s="96">
        <f t="shared" si="46"/>
        <v>0</v>
      </c>
      <c r="J119" s="96">
        <f t="shared" si="46"/>
        <v>0</v>
      </c>
      <c r="K119" s="96">
        <f t="shared" si="46"/>
        <v>0</v>
      </c>
      <c r="L119" s="96">
        <f t="shared" si="46"/>
        <v>0</v>
      </c>
      <c r="M119" s="96">
        <f t="shared" si="46"/>
        <v>0</v>
      </c>
      <c r="N119" s="96">
        <f t="shared" si="46"/>
        <v>0</v>
      </c>
      <c r="O119" s="94">
        <f t="shared" si="42"/>
        <v>0</v>
      </c>
      <c r="P119" s="398"/>
      <c r="Q119" s="398"/>
      <c r="R119" s="398"/>
      <c r="S119" s="398"/>
      <c r="T119" s="398"/>
      <c r="U119" s="398"/>
      <c r="V119" s="398"/>
      <c r="W119" s="398">
        <v>2.0511182108626198E-2</v>
      </c>
      <c r="X119" s="398"/>
      <c r="Y119" s="1384"/>
      <c r="Z119" s="1383"/>
      <c r="AA119" s="852"/>
      <c r="AB119" s="852"/>
      <c r="AC119" s="852"/>
      <c r="AD119" s="852"/>
      <c r="AE119" s="852"/>
      <c r="AF119" s="852"/>
      <c r="AG119" s="852"/>
      <c r="AH119" s="852"/>
      <c r="AI119" s="852"/>
      <c r="AJ119" s="852"/>
      <c r="AK119" s="852"/>
      <c r="AL119" s="852"/>
      <c r="AM119" s="852"/>
      <c r="AN119" s="852"/>
      <c r="AO119" s="852"/>
      <c r="AP119" s="852"/>
      <c r="AQ119" s="852"/>
      <c r="AR119" s="852"/>
      <c r="AS119" s="852"/>
      <c r="AT119" s="852"/>
      <c r="AU119" s="852"/>
      <c r="AV119" s="852"/>
      <c r="AW119" s="852"/>
      <c r="AX119" s="852"/>
      <c r="AY119" s="852"/>
      <c r="AZ119" s="852"/>
      <c r="BA119" s="852"/>
      <c r="BB119" s="852"/>
      <c r="BC119" s="852"/>
      <c r="BD119" s="852"/>
      <c r="BE119" s="852"/>
      <c r="BF119" s="852"/>
      <c r="BG119" s="852"/>
      <c r="BH119" s="852"/>
      <c r="BI119" s="852"/>
      <c r="BJ119" s="852"/>
      <c r="BK119" s="852"/>
      <c r="BL119" s="852"/>
      <c r="BM119" s="852"/>
      <c r="BN119" s="852"/>
      <c r="BO119" s="852"/>
      <c r="BP119" s="852"/>
      <c r="BQ119" s="852"/>
      <c r="BR119" s="852"/>
      <c r="BS119" s="852"/>
      <c r="BT119" s="852"/>
      <c r="BU119" s="852"/>
      <c r="BV119" s="852"/>
      <c r="BW119" s="852"/>
      <c r="BX119" s="852"/>
      <c r="BY119" s="852"/>
      <c r="BZ119" s="852"/>
      <c r="CA119" s="852"/>
      <c r="CB119" s="852"/>
      <c r="CC119" s="852"/>
      <c r="CD119" s="852"/>
      <c r="CE119" s="852"/>
      <c r="CF119" s="852"/>
      <c r="CG119" s="852"/>
      <c r="CH119" s="852"/>
    </row>
    <row r="120" spans="2:86" hidden="1" outlineLevel="1">
      <c r="B120" s="332" t="s">
        <v>95</v>
      </c>
      <c r="C120" s="96">
        <f t="shared" ref="C120:N120" si="47">IF(C$15=0," ",C83/C$15)</f>
        <v>0</v>
      </c>
      <c r="D120" s="96">
        <f t="shared" si="47"/>
        <v>0</v>
      </c>
      <c r="E120" s="96">
        <f t="shared" si="47"/>
        <v>0</v>
      </c>
      <c r="F120" s="96">
        <f t="shared" si="47"/>
        <v>0</v>
      </c>
      <c r="G120" s="96">
        <f t="shared" si="47"/>
        <v>0</v>
      </c>
      <c r="H120" s="96">
        <f t="shared" si="47"/>
        <v>0</v>
      </c>
      <c r="I120" s="96">
        <f t="shared" si="47"/>
        <v>0</v>
      </c>
      <c r="J120" s="96">
        <f t="shared" si="47"/>
        <v>0</v>
      </c>
      <c r="K120" s="96">
        <f t="shared" si="47"/>
        <v>0</v>
      </c>
      <c r="L120" s="96">
        <f t="shared" si="47"/>
        <v>0</v>
      </c>
      <c r="M120" s="96">
        <f t="shared" si="47"/>
        <v>0</v>
      </c>
      <c r="N120" s="96">
        <f t="shared" si="47"/>
        <v>0</v>
      </c>
      <c r="O120" s="94">
        <f t="shared" si="42"/>
        <v>0</v>
      </c>
      <c r="P120" s="398"/>
      <c r="Q120" s="398"/>
      <c r="R120" s="398"/>
      <c r="S120" s="398"/>
      <c r="T120" s="398"/>
      <c r="U120" s="398"/>
      <c r="V120" s="398"/>
      <c r="W120" s="398">
        <v>1.7523386581469649E-2</v>
      </c>
      <c r="X120" s="398"/>
      <c r="Y120" s="1384"/>
      <c r="Z120" s="1383"/>
      <c r="AA120" s="852"/>
      <c r="AB120" s="852"/>
      <c r="AC120" s="852"/>
      <c r="AD120" s="852"/>
      <c r="AE120" s="852"/>
      <c r="AF120" s="852"/>
      <c r="AG120" s="852"/>
      <c r="AH120" s="852"/>
      <c r="AI120" s="852"/>
      <c r="AJ120" s="852"/>
      <c r="AK120" s="852"/>
      <c r="AL120" s="852"/>
      <c r="AM120" s="852"/>
      <c r="AN120" s="852"/>
      <c r="AO120" s="852"/>
      <c r="AP120" s="852"/>
      <c r="AQ120" s="852"/>
      <c r="AR120" s="852"/>
      <c r="AS120" s="852"/>
      <c r="AT120" s="852"/>
      <c r="AU120" s="852"/>
      <c r="AV120" s="852"/>
      <c r="AW120" s="852"/>
      <c r="AX120" s="852"/>
      <c r="AY120" s="852"/>
      <c r="AZ120" s="852"/>
      <c r="BA120" s="852"/>
      <c r="BB120" s="852"/>
      <c r="BC120" s="852"/>
      <c r="BD120" s="852"/>
      <c r="BE120" s="852"/>
      <c r="BF120" s="852"/>
      <c r="BG120" s="852"/>
      <c r="BH120" s="852"/>
      <c r="BI120" s="852"/>
      <c r="BJ120" s="852"/>
      <c r="BK120" s="852"/>
      <c r="BL120" s="852"/>
      <c r="BM120" s="852"/>
      <c r="BN120" s="852"/>
      <c r="BO120" s="852"/>
      <c r="BP120" s="852"/>
      <c r="BQ120" s="852"/>
      <c r="BR120" s="852"/>
      <c r="BS120" s="852"/>
      <c r="BT120" s="852"/>
      <c r="BU120" s="852"/>
      <c r="BV120" s="852"/>
      <c r="BW120" s="852"/>
      <c r="BX120" s="852"/>
      <c r="BY120" s="852"/>
      <c r="BZ120" s="852"/>
      <c r="CA120" s="852"/>
      <c r="CB120" s="852"/>
      <c r="CC120" s="852"/>
      <c r="CD120" s="852"/>
      <c r="CE120" s="852"/>
      <c r="CF120" s="852"/>
      <c r="CG120" s="852"/>
      <c r="CH120" s="852"/>
    </row>
    <row r="121" spans="2:86" hidden="1" outlineLevel="1">
      <c r="B121" s="332" t="s">
        <v>96</v>
      </c>
      <c r="C121" s="96">
        <f t="shared" ref="C121:N121" si="48">IF(C$15=0," ",C84/C$15)</f>
        <v>0</v>
      </c>
      <c r="D121" s="96">
        <f t="shared" si="48"/>
        <v>0</v>
      </c>
      <c r="E121" s="96">
        <f t="shared" si="48"/>
        <v>0</v>
      </c>
      <c r="F121" s="96">
        <f t="shared" si="48"/>
        <v>0</v>
      </c>
      <c r="G121" s="96">
        <f t="shared" si="48"/>
        <v>0</v>
      </c>
      <c r="H121" s="96">
        <f t="shared" si="48"/>
        <v>0</v>
      </c>
      <c r="I121" s="96">
        <f t="shared" si="48"/>
        <v>0</v>
      </c>
      <c r="J121" s="96">
        <f t="shared" si="48"/>
        <v>0</v>
      </c>
      <c r="K121" s="96">
        <f t="shared" si="48"/>
        <v>0</v>
      </c>
      <c r="L121" s="96">
        <f t="shared" si="48"/>
        <v>0</v>
      </c>
      <c r="M121" s="96">
        <f t="shared" si="48"/>
        <v>0</v>
      </c>
      <c r="N121" s="96">
        <f t="shared" si="48"/>
        <v>0</v>
      </c>
      <c r="O121" s="94">
        <f t="shared" si="42"/>
        <v>0</v>
      </c>
      <c r="P121" s="398"/>
      <c r="Q121" s="398"/>
      <c r="R121" s="398"/>
      <c r="S121" s="398"/>
      <c r="T121" s="398"/>
      <c r="U121" s="398"/>
      <c r="V121" s="398"/>
      <c r="W121" s="398">
        <v>3.2476038338658145E-3</v>
      </c>
      <c r="X121" s="398"/>
      <c r="Y121" s="1384"/>
      <c r="Z121" s="1383"/>
      <c r="AA121" s="852"/>
      <c r="AB121" s="852"/>
      <c r="AC121" s="852"/>
      <c r="AD121" s="852"/>
      <c r="AE121" s="852"/>
      <c r="AF121" s="852"/>
      <c r="AG121" s="852"/>
      <c r="AH121" s="852"/>
      <c r="AI121" s="852"/>
      <c r="AJ121" s="852"/>
      <c r="AK121" s="852"/>
      <c r="AL121" s="852"/>
      <c r="AM121" s="852"/>
      <c r="AN121" s="852"/>
      <c r="AO121" s="852"/>
      <c r="AP121" s="852"/>
      <c r="AQ121" s="852"/>
      <c r="AR121" s="852"/>
      <c r="AS121" s="852"/>
      <c r="AT121" s="852"/>
      <c r="AU121" s="852"/>
      <c r="AV121" s="852"/>
      <c r="AW121" s="852"/>
      <c r="AX121" s="852"/>
      <c r="AY121" s="852"/>
      <c r="AZ121" s="852"/>
      <c r="BA121" s="852"/>
      <c r="BB121" s="852"/>
      <c r="BC121" s="852"/>
      <c r="BD121" s="852"/>
      <c r="BE121" s="852"/>
      <c r="BF121" s="852"/>
      <c r="BG121" s="852"/>
      <c r="BH121" s="852"/>
      <c r="BI121" s="852"/>
      <c r="BJ121" s="852"/>
      <c r="BK121" s="852"/>
      <c r="BL121" s="852"/>
      <c r="BM121" s="852"/>
      <c r="BN121" s="852"/>
      <c r="BO121" s="852"/>
      <c r="BP121" s="852"/>
      <c r="BQ121" s="852"/>
      <c r="BR121" s="852"/>
      <c r="BS121" s="852"/>
      <c r="BT121" s="852"/>
      <c r="BU121" s="852"/>
      <c r="BV121" s="852"/>
      <c r="BW121" s="852"/>
      <c r="BX121" s="852"/>
      <c r="BY121" s="852"/>
      <c r="BZ121" s="852"/>
      <c r="CA121" s="852"/>
      <c r="CB121" s="852"/>
      <c r="CC121" s="852"/>
      <c r="CD121" s="852"/>
      <c r="CE121" s="852"/>
      <c r="CF121" s="852"/>
      <c r="CG121" s="852"/>
      <c r="CH121" s="852"/>
    </row>
    <row r="122" spans="2:86" hidden="1" outlineLevel="1">
      <c r="B122" s="332" t="s">
        <v>97</v>
      </c>
      <c r="C122" s="96">
        <f t="shared" ref="C122:N122" si="49">IF(C$15=0," ",C86/C$15)</f>
        <v>0</v>
      </c>
      <c r="D122" s="96">
        <f t="shared" si="49"/>
        <v>0</v>
      </c>
      <c r="E122" s="96">
        <f t="shared" si="49"/>
        <v>0</v>
      </c>
      <c r="F122" s="96">
        <f t="shared" si="49"/>
        <v>0</v>
      </c>
      <c r="G122" s="96">
        <f t="shared" si="49"/>
        <v>0</v>
      </c>
      <c r="H122" s="96">
        <f t="shared" si="49"/>
        <v>0</v>
      </c>
      <c r="I122" s="96">
        <f t="shared" si="49"/>
        <v>0</v>
      </c>
      <c r="J122" s="96">
        <f t="shared" si="49"/>
        <v>0</v>
      </c>
      <c r="K122" s="96">
        <f t="shared" si="49"/>
        <v>0</v>
      </c>
      <c r="L122" s="96">
        <f t="shared" si="49"/>
        <v>0</v>
      </c>
      <c r="M122" s="96">
        <f t="shared" si="49"/>
        <v>0</v>
      </c>
      <c r="N122" s="96">
        <f t="shared" si="49"/>
        <v>0</v>
      </c>
      <c r="O122" s="94">
        <f>IF($O$15=0," ",O86/$O$15)</f>
        <v>0</v>
      </c>
      <c r="P122" s="399"/>
      <c r="Q122" s="399"/>
      <c r="R122" s="399"/>
      <c r="S122" s="399"/>
      <c r="T122" s="399"/>
      <c r="U122" s="399">
        <v>750</v>
      </c>
      <c r="V122" s="399"/>
      <c r="W122" s="399">
        <v>750</v>
      </c>
      <c r="X122" s="399"/>
      <c r="Y122" s="1384"/>
      <c r="Z122" s="1383"/>
      <c r="AA122" s="852"/>
      <c r="AB122" s="852"/>
      <c r="AC122" s="852"/>
      <c r="AD122" s="852"/>
      <c r="AE122" s="852"/>
      <c r="AF122" s="852"/>
      <c r="AG122" s="852"/>
      <c r="AH122" s="852"/>
      <c r="AI122" s="852"/>
      <c r="AJ122" s="852"/>
      <c r="AK122" s="852"/>
      <c r="AL122" s="852"/>
      <c r="AM122" s="852"/>
      <c r="AN122" s="852"/>
      <c r="AO122" s="852"/>
      <c r="AP122" s="852"/>
      <c r="AQ122" s="852"/>
      <c r="AR122" s="852"/>
      <c r="AS122" s="852"/>
      <c r="AT122" s="852"/>
      <c r="AU122" s="852"/>
      <c r="AV122" s="852"/>
      <c r="AW122" s="852"/>
      <c r="AX122" s="852"/>
      <c r="AY122" s="852"/>
      <c r="AZ122" s="852"/>
      <c r="BA122" s="852"/>
      <c r="BB122" s="852"/>
      <c r="BC122" s="852"/>
      <c r="BD122" s="852"/>
      <c r="BE122" s="852"/>
      <c r="BF122" s="852"/>
      <c r="BG122" s="852"/>
      <c r="BH122" s="852"/>
      <c r="BI122" s="852"/>
      <c r="BJ122" s="852"/>
      <c r="BK122" s="852"/>
      <c r="BL122" s="852"/>
      <c r="BM122" s="852"/>
      <c r="BN122" s="852"/>
      <c r="BO122" s="852"/>
      <c r="BP122" s="852"/>
      <c r="BQ122" s="852"/>
      <c r="BR122" s="852"/>
      <c r="BS122" s="852"/>
      <c r="BT122" s="852"/>
      <c r="BU122" s="852"/>
      <c r="BV122" s="852"/>
      <c r="BW122" s="852"/>
      <c r="BX122" s="852"/>
      <c r="BY122" s="852"/>
      <c r="BZ122" s="852"/>
      <c r="CA122" s="852"/>
      <c r="CB122" s="852"/>
      <c r="CC122" s="852"/>
      <c r="CD122" s="852"/>
      <c r="CE122" s="852"/>
      <c r="CF122" s="852"/>
      <c r="CG122" s="852"/>
      <c r="CH122" s="852"/>
    </row>
    <row r="123" spans="2:86" hidden="1" outlineLevel="1">
      <c r="B123" s="333" t="s">
        <v>77</v>
      </c>
      <c r="C123" s="96">
        <f t="shared" ref="C123:N123" si="50">IF(C$15=0," ",C87/C$15)</f>
        <v>0</v>
      </c>
      <c r="D123" s="96">
        <f t="shared" si="50"/>
        <v>0</v>
      </c>
      <c r="E123" s="96">
        <f t="shared" si="50"/>
        <v>0</v>
      </c>
      <c r="F123" s="96">
        <f t="shared" si="50"/>
        <v>0</v>
      </c>
      <c r="G123" s="96">
        <f t="shared" si="50"/>
        <v>0</v>
      </c>
      <c r="H123" s="96">
        <f t="shared" si="50"/>
        <v>0</v>
      </c>
      <c r="I123" s="96">
        <f t="shared" si="50"/>
        <v>0</v>
      </c>
      <c r="J123" s="96">
        <f t="shared" si="50"/>
        <v>0</v>
      </c>
      <c r="K123" s="96">
        <f t="shared" si="50"/>
        <v>0</v>
      </c>
      <c r="L123" s="96">
        <f t="shared" si="50"/>
        <v>0</v>
      </c>
      <c r="M123" s="96">
        <f t="shared" si="50"/>
        <v>0</v>
      </c>
      <c r="N123" s="96">
        <f t="shared" si="50"/>
        <v>0</v>
      </c>
      <c r="O123" s="94">
        <f>IF($O$15=0," ",O87/$O$15)</f>
        <v>0</v>
      </c>
      <c r="P123" s="399"/>
      <c r="Q123" s="399"/>
      <c r="R123" s="399"/>
      <c r="S123" s="399"/>
      <c r="T123" s="399"/>
      <c r="U123" s="399">
        <v>1000</v>
      </c>
      <c r="V123" s="399"/>
      <c r="W123" s="399">
        <v>1000</v>
      </c>
      <c r="X123" s="399"/>
      <c r="Y123" s="1384"/>
      <c r="Z123" s="1383"/>
      <c r="AA123" s="852"/>
      <c r="AB123" s="852"/>
      <c r="AC123" s="852"/>
      <c r="AD123" s="852"/>
      <c r="AE123" s="852"/>
      <c r="AF123" s="852"/>
      <c r="AG123" s="852"/>
      <c r="AH123" s="852"/>
      <c r="AI123" s="852"/>
      <c r="AJ123" s="852"/>
      <c r="AK123" s="852"/>
      <c r="AL123" s="852"/>
      <c r="AM123" s="852"/>
      <c r="AN123" s="852"/>
      <c r="AO123" s="852"/>
      <c r="AP123" s="852"/>
      <c r="AQ123" s="852"/>
      <c r="AR123" s="852"/>
      <c r="AS123" s="852"/>
      <c r="AT123" s="852"/>
      <c r="AU123" s="852"/>
      <c r="AV123" s="852"/>
      <c r="AW123" s="852"/>
      <c r="AX123" s="852"/>
      <c r="AY123" s="852"/>
      <c r="AZ123" s="852"/>
      <c r="BA123" s="852"/>
      <c r="BB123" s="852"/>
      <c r="BC123" s="852"/>
      <c r="BD123" s="852"/>
      <c r="BE123" s="852"/>
      <c r="BF123" s="852"/>
      <c r="BG123" s="852"/>
      <c r="BH123" s="852"/>
      <c r="BI123" s="852"/>
      <c r="BJ123" s="852"/>
      <c r="BK123" s="852"/>
      <c r="BL123" s="852"/>
      <c r="BM123" s="852"/>
      <c r="BN123" s="852"/>
      <c r="BO123" s="852"/>
      <c r="BP123" s="852"/>
      <c r="BQ123" s="852"/>
      <c r="BR123" s="852"/>
      <c r="BS123" s="852"/>
      <c r="BT123" s="852"/>
      <c r="BU123" s="852"/>
      <c r="BV123" s="852"/>
      <c r="BW123" s="852"/>
      <c r="BX123" s="852"/>
      <c r="BY123" s="852"/>
      <c r="BZ123" s="852"/>
      <c r="CA123" s="852"/>
      <c r="CB123" s="852"/>
      <c r="CC123" s="852"/>
      <c r="CD123" s="852"/>
      <c r="CE123" s="852"/>
      <c r="CF123" s="852"/>
      <c r="CG123" s="852"/>
      <c r="CH123" s="852"/>
    </row>
    <row r="124" spans="2:86" collapsed="1">
      <c r="B124" s="97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Y124" s="1382"/>
      <c r="Z124" s="1383"/>
      <c r="AA124" s="852"/>
      <c r="AB124" s="852"/>
      <c r="AC124" s="852"/>
      <c r="AD124" s="852"/>
      <c r="AE124" s="852"/>
      <c r="AF124" s="852"/>
      <c r="AG124" s="852"/>
      <c r="AH124" s="852"/>
      <c r="AI124" s="852"/>
      <c r="AJ124" s="852"/>
      <c r="AK124" s="852"/>
      <c r="AL124" s="852"/>
      <c r="AM124" s="852"/>
      <c r="AN124" s="852"/>
      <c r="AO124" s="852"/>
      <c r="AP124" s="852"/>
      <c r="AQ124" s="852"/>
      <c r="AR124" s="852"/>
      <c r="AS124" s="852"/>
      <c r="AT124" s="852"/>
      <c r="AU124" s="852"/>
      <c r="AV124" s="852"/>
      <c r="AW124" s="852"/>
      <c r="AX124" s="852"/>
      <c r="AY124" s="852"/>
      <c r="AZ124" s="852"/>
      <c r="BA124" s="852"/>
      <c r="BB124" s="852"/>
      <c r="BC124" s="852"/>
      <c r="BD124" s="852"/>
      <c r="BE124" s="852"/>
      <c r="BF124" s="852"/>
      <c r="BG124" s="852"/>
      <c r="BH124" s="852"/>
      <c r="BI124" s="852"/>
      <c r="BJ124" s="852"/>
      <c r="BK124" s="852"/>
      <c r="BL124" s="852"/>
      <c r="BM124" s="852"/>
      <c r="BN124" s="852"/>
      <c r="BO124" s="852"/>
      <c r="BP124" s="852"/>
      <c r="BQ124" s="852"/>
      <c r="BR124" s="852"/>
      <c r="BS124" s="852"/>
      <c r="BT124" s="852"/>
      <c r="BU124" s="852"/>
      <c r="BV124" s="852"/>
      <c r="BW124" s="852"/>
      <c r="BX124" s="852"/>
      <c r="BY124" s="852"/>
      <c r="BZ124" s="852"/>
      <c r="CA124" s="852"/>
      <c r="CB124" s="852"/>
      <c r="CC124" s="852"/>
      <c r="CD124" s="852"/>
      <c r="CE124" s="852"/>
      <c r="CF124" s="852"/>
      <c r="CG124" s="852"/>
      <c r="CH124" s="852"/>
    </row>
    <row r="125" spans="2:86" ht="15.75">
      <c r="B125" s="38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Y125" s="1382"/>
      <c r="Z125" s="1383"/>
      <c r="AA125" s="852"/>
      <c r="AB125" s="852"/>
      <c r="AC125" s="852"/>
      <c r="AD125" s="852"/>
      <c r="AE125" s="852"/>
      <c r="AF125" s="852"/>
      <c r="AG125" s="852"/>
      <c r="AH125" s="852"/>
      <c r="AI125" s="852"/>
      <c r="AJ125" s="852"/>
      <c r="AK125" s="852"/>
      <c r="AL125" s="852"/>
      <c r="AM125" s="852"/>
      <c r="AN125" s="852"/>
      <c r="AO125" s="852"/>
      <c r="AP125" s="852"/>
      <c r="AQ125" s="852"/>
      <c r="AR125" s="852"/>
      <c r="AS125" s="852"/>
      <c r="AT125" s="852"/>
      <c r="AU125" s="852"/>
      <c r="AV125" s="852"/>
      <c r="AW125" s="852"/>
      <c r="AX125" s="852"/>
      <c r="AY125" s="852"/>
      <c r="AZ125" s="852"/>
      <c r="BA125" s="852"/>
      <c r="BB125" s="852"/>
      <c r="BC125" s="852"/>
      <c r="BD125" s="852"/>
      <c r="BE125" s="852"/>
      <c r="BF125" s="852"/>
      <c r="BG125" s="852"/>
      <c r="BH125" s="852"/>
      <c r="BI125" s="852"/>
      <c r="BJ125" s="852"/>
      <c r="BK125" s="852"/>
      <c r="BL125" s="852"/>
      <c r="BM125" s="852"/>
      <c r="BN125" s="852"/>
      <c r="BO125" s="852"/>
      <c r="BP125" s="852"/>
      <c r="BQ125" s="852"/>
      <c r="BR125" s="852"/>
      <c r="BS125" s="852"/>
      <c r="BT125" s="852"/>
      <c r="BU125" s="852"/>
      <c r="BV125" s="852"/>
      <c r="BW125" s="852"/>
      <c r="BX125" s="852"/>
      <c r="BY125" s="852"/>
      <c r="BZ125" s="852"/>
      <c r="CA125" s="852"/>
      <c r="CB125" s="852"/>
      <c r="CC125" s="852"/>
      <c r="CD125" s="852"/>
      <c r="CE125" s="852"/>
      <c r="CF125" s="852"/>
      <c r="CG125" s="852"/>
      <c r="CH125" s="852"/>
    </row>
    <row r="126" spans="2:86">
      <c r="B126" s="53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62"/>
      <c r="P126" s="62"/>
      <c r="Q126" s="62"/>
      <c r="R126" s="62"/>
      <c r="S126" s="62"/>
      <c r="T126" s="62"/>
      <c r="U126" s="50"/>
      <c r="V126" s="50"/>
      <c r="W126" s="50"/>
      <c r="Y126" s="1382"/>
      <c r="Z126" s="1383"/>
      <c r="AA126" s="852"/>
      <c r="AB126" s="852"/>
      <c r="AC126" s="852"/>
      <c r="AD126" s="852"/>
      <c r="AE126" s="852"/>
      <c r="AF126" s="852"/>
      <c r="AG126" s="852"/>
      <c r="AH126" s="852"/>
      <c r="AI126" s="852"/>
      <c r="AJ126" s="852"/>
      <c r="AK126" s="852"/>
      <c r="AL126" s="852"/>
      <c r="AM126" s="852"/>
      <c r="AN126" s="852"/>
      <c r="AO126" s="852"/>
      <c r="AP126" s="852"/>
      <c r="AQ126" s="852"/>
      <c r="AR126" s="852"/>
      <c r="AS126" s="852"/>
      <c r="AT126" s="852"/>
      <c r="AU126" s="852"/>
      <c r="AV126" s="852"/>
      <c r="AW126" s="852"/>
      <c r="AX126" s="852"/>
      <c r="AY126" s="852"/>
      <c r="AZ126" s="852"/>
      <c r="BA126" s="852"/>
      <c r="BB126" s="852"/>
      <c r="BC126" s="852"/>
      <c r="BD126" s="852"/>
      <c r="BE126" s="852"/>
      <c r="BF126" s="852"/>
      <c r="BG126" s="852"/>
      <c r="BH126" s="852"/>
      <c r="BI126" s="852"/>
      <c r="BJ126" s="852"/>
      <c r="BK126" s="852"/>
      <c r="BL126" s="852"/>
      <c r="BM126" s="852"/>
      <c r="BN126" s="852"/>
      <c r="BO126" s="852"/>
      <c r="BP126" s="852"/>
      <c r="BQ126" s="852"/>
      <c r="BR126" s="852"/>
      <c r="BS126" s="852"/>
      <c r="BT126" s="852"/>
      <c r="BU126" s="852"/>
      <c r="BV126" s="852"/>
      <c r="BW126" s="852"/>
      <c r="BX126" s="852"/>
      <c r="BY126" s="852"/>
      <c r="BZ126" s="852"/>
      <c r="CA126" s="852"/>
      <c r="CB126" s="852"/>
      <c r="CC126" s="852"/>
      <c r="CD126" s="852"/>
      <c r="CE126" s="852"/>
      <c r="CF126" s="852"/>
      <c r="CG126" s="852"/>
      <c r="CH126" s="852"/>
    </row>
    <row r="127" spans="2:86" ht="18">
      <c r="B127" s="63" t="s">
        <v>98</v>
      </c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62"/>
      <c r="O127" s="62"/>
      <c r="P127" s="62"/>
      <c r="Q127" s="62"/>
      <c r="R127" s="62"/>
      <c r="S127" s="62"/>
      <c r="T127" s="62"/>
      <c r="U127" s="92"/>
      <c r="V127" s="92"/>
      <c r="W127" s="50"/>
      <c r="Y127" s="1382"/>
      <c r="Z127" s="1383"/>
      <c r="AA127" s="852"/>
      <c r="AB127" s="852"/>
      <c r="AC127" s="852"/>
      <c r="AD127" s="852"/>
      <c r="AE127" s="852"/>
      <c r="AF127" s="852"/>
      <c r="AG127" s="852"/>
      <c r="AH127" s="852"/>
      <c r="AI127" s="852"/>
      <c r="AJ127" s="852"/>
      <c r="AK127" s="852"/>
      <c r="AL127" s="852"/>
      <c r="AM127" s="852"/>
      <c r="AN127" s="852"/>
      <c r="AO127" s="852"/>
      <c r="AP127" s="852"/>
      <c r="AQ127" s="852"/>
      <c r="AR127" s="852"/>
      <c r="AS127" s="852"/>
      <c r="AT127" s="852"/>
      <c r="AU127" s="852"/>
      <c r="AV127" s="852"/>
      <c r="AW127" s="852"/>
      <c r="AX127" s="852"/>
      <c r="AY127" s="852"/>
      <c r="AZ127" s="852"/>
      <c r="BA127" s="852"/>
      <c r="BB127" s="852"/>
      <c r="BC127" s="852"/>
      <c r="BD127" s="852"/>
      <c r="BE127" s="852"/>
      <c r="BF127" s="852"/>
      <c r="BG127" s="852"/>
      <c r="BH127" s="852"/>
      <c r="BI127" s="852"/>
      <c r="BJ127" s="852"/>
      <c r="BK127" s="852"/>
      <c r="BL127" s="852"/>
      <c r="BM127" s="852"/>
      <c r="BN127" s="852"/>
      <c r="BO127" s="852"/>
      <c r="BP127" s="852"/>
      <c r="BQ127" s="852"/>
      <c r="BR127" s="852"/>
      <c r="BS127" s="852"/>
      <c r="BT127" s="852"/>
      <c r="BU127" s="852"/>
      <c r="BV127" s="852"/>
      <c r="BW127" s="852"/>
      <c r="BX127" s="852"/>
      <c r="BY127" s="852"/>
      <c r="BZ127" s="852"/>
      <c r="CA127" s="852"/>
      <c r="CB127" s="852"/>
      <c r="CC127" s="852"/>
      <c r="CD127" s="852"/>
      <c r="CE127" s="852"/>
      <c r="CF127" s="852"/>
      <c r="CG127" s="852"/>
      <c r="CH127" s="852"/>
    </row>
    <row r="128" spans="2:86">
      <c r="B128" s="93"/>
      <c r="C128" s="56" t="s">
        <v>44</v>
      </c>
      <c r="D128" s="56" t="s">
        <v>45</v>
      </c>
      <c r="E128" s="56" t="s">
        <v>46</v>
      </c>
      <c r="F128" s="56" t="s">
        <v>47</v>
      </c>
      <c r="G128" s="56" t="s">
        <v>48</v>
      </c>
      <c r="H128" s="56" t="s">
        <v>49</v>
      </c>
      <c r="I128" s="56" t="s">
        <v>50</v>
      </c>
      <c r="J128" s="56" t="s">
        <v>51</v>
      </c>
      <c r="K128" s="56" t="s">
        <v>52</v>
      </c>
      <c r="L128" s="56" t="s">
        <v>53</v>
      </c>
      <c r="M128" s="56" t="s">
        <v>54</v>
      </c>
      <c r="N128" s="56" t="s">
        <v>55</v>
      </c>
      <c r="O128" s="81" t="s">
        <v>42</v>
      </c>
      <c r="P128" s="1270" t="str">
        <f t="shared" ref="P128:W128" si="51">P7</f>
        <v>Budget19</v>
      </c>
      <c r="Q128" s="1175" t="str">
        <f t="shared" si="51"/>
        <v>Budget17</v>
      </c>
      <c r="R128" s="1175" t="str">
        <f t="shared" si="51"/>
        <v>Budget16</v>
      </c>
      <c r="S128" s="1175" t="str">
        <f t="shared" si="51"/>
        <v>Budget15</v>
      </c>
      <c r="T128" s="1175" t="str">
        <f t="shared" si="51"/>
        <v>Budget14</v>
      </c>
      <c r="U128" s="1175" t="str">
        <f t="shared" si="51"/>
        <v>Budget13</v>
      </c>
      <c r="V128" s="1175" t="str">
        <f t="shared" si="51"/>
        <v>Budget12</v>
      </c>
      <c r="W128" s="1175" t="str">
        <f t="shared" si="51"/>
        <v>Budget11</v>
      </c>
      <c r="X128" s="50"/>
      <c r="Y128" s="1382"/>
      <c r="Z128" s="1383"/>
      <c r="AA128" s="852"/>
      <c r="AB128" s="852"/>
      <c r="AC128" s="852"/>
      <c r="AD128" s="852"/>
      <c r="AE128" s="852"/>
      <c r="AF128" s="852"/>
      <c r="AG128" s="852"/>
      <c r="AH128" s="852"/>
      <c r="AI128" s="852"/>
      <c r="AJ128" s="852"/>
      <c r="AK128" s="852"/>
      <c r="AL128" s="852"/>
      <c r="AM128" s="852"/>
      <c r="AN128" s="852"/>
      <c r="AO128" s="852"/>
      <c r="AP128" s="852"/>
      <c r="AQ128" s="852"/>
      <c r="AR128" s="852"/>
      <c r="AS128" s="852"/>
      <c r="AT128" s="852"/>
      <c r="AU128" s="852"/>
      <c r="AV128" s="852"/>
      <c r="AW128" s="852"/>
      <c r="AX128" s="852"/>
      <c r="AY128" s="852"/>
      <c r="AZ128" s="852"/>
      <c r="BA128" s="852"/>
      <c r="BB128" s="852"/>
      <c r="BC128" s="852"/>
      <c r="BD128" s="852"/>
      <c r="BE128" s="852"/>
      <c r="BF128" s="852"/>
      <c r="BG128" s="852"/>
      <c r="BH128" s="852"/>
      <c r="BI128" s="852"/>
      <c r="BJ128" s="852"/>
      <c r="BK128" s="852"/>
      <c r="BL128" s="852"/>
      <c r="BM128" s="852"/>
      <c r="BN128" s="852"/>
      <c r="BO128" s="852"/>
      <c r="BP128" s="852"/>
      <c r="BQ128" s="852"/>
      <c r="BR128" s="852"/>
      <c r="BS128" s="852"/>
      <c r="BT128" s="852"/>
      <c r="BU128" s="852"/>
      <c r="BV128" s="852"/>
      <c r="BW128" s="852"/>
      <c r="BX128" s="852"/>
      <c r="BY128" s="852"/>
      <c r="BZ128" s="852"/>
      <c r="CA128" s="852"/>
      <c r="CB128" s="852"/>
      <c r="CC128" s="852"/>
      <c r="CD128" s="852"/>
      <c r="CE128" s="852"/>
      <c r="CF128" s="852"/>
      <c r="CG128" s="852"/>
      <c r="CH128" s="852"/>
    </row>
    <row r="129" spans="2:86">
      <c r="B129" s="60" t="s">
        <v>99</v>
      </c>
      <c r="C129" s="1317">
        <f t="shared" ref="C129:N129" si="52">IF(C$15=0," ",C20/C$15)</f>
        <v>3.2884853138899557E-2</v>
      </c>
      <c r="D129" s="1317">
        <f t="shared" si="52"/>
        <v>3.3829696529625669E-2</v>
      </c>
      <c r="E129" s="1317">
        <f t="shared" si="52"/>
        <v>3.7524376016140219E-2</v>
      </c>
      <c r="F129" s="1317">
        <f t="shared" si="52"/>
        <v>3.002865324897885E-2</v>
      </c>
      <c r="G129" s="1317">
        <f t="shared" si="52"/>
        <v>3.2165925604177623E-2</v>
      </c>
      <c r="H129" s="1317">
        <f t="shared" si="52"/>
        <v>3.7655465717182195E-2</v>
      </c>
      <c r="I129" s="1317">
        <f t="shared" si="52"/>
        <v>3.6352007521794627E-2</v>
      </c>
      <c r="J129" s="1317">
        <f t="shared" si="52"/>
        <v>3.5434106003520878E-2</v>
      </c>
      <c r="K129" s="1317">
        <f t="shared" si="52"/>
        <v>3.4261965799287634E-2</v>
      </c>
      <c r="L129" s="1555">
        <f t="shared" si="52"/>
        <v>3.8516518446686424E-2</v>
      </c>
      <c r="M129" s="1555">
        <f t="shared" si="52"/>
        <v>3.6035926107712515E-2</v>
      </c>
      <c r="N129" s="1317">
        <f t="shared" si="52"/>
        <v>5.11284340724487E-2</v>
      </c>
      <c r="O129" s="1317">
        <f t="shared" ref="O129" si="53">IF(O$15=0," ",O20/O$15)</f>
        <v>3.624975474948345E-2</v>
      </c>
      <c r="P129" s="1553">
        <v>3.5131772806394471E-2</v>
      </c>
      <c r="Q129" s="98">
        <v>3.6999999999999998E-2</v>
      </c>
      <c r="R129" s="98">
        <v>3.6999999999999998E-2</v>
      </c>
      <c r="S129" s="98">
        <v>3.6999999999999998E-2</v>
      </c>
      <c r="T129" s="98">
        <v>3.6999999999999998E-2</v>
      </c>
      <c r="U129" s="98">
        <v>0.03</v>
      </c>
      <c r="V129" s="98">
        <v>3.1200000000000002E-2</v>
      </c>
      <c r="W129" s="98"/>
      <c r="X129" s="50"/>
      <c r="Y129" s="1382"/>
      <c r="Z129" s="1383"/>
      <c r="AA129" s="852"/>
      <c r="AB129" s="852"/>
      <c r="AC129" s="852"/>
      <c r="AD129" s="852"/>
      <c r="AE129" s="852"/>
      <c r="AF129" s="852"/>
      <c r="AG129" s="852"/>
      <c r="AH129" s="852"/>
      <c r="AI129" s="852"/>
      <c r="AJ129" s="852"/>
      <c r="AK129" s="852"/>
      <c r="AL129" s="852"/>
      <c r="AM129" s="852"/>
      <c r="AN129" s="852"/>
      <c r="AO129" s="852"/>
      <c r="AP129" s="852"/>
      <c r="AQ129" s="852"/>
      <c r="AR129" s="852"/>
      <c r="AS129" s="852"/>
      <c r="AT129" s="852"/>
      <c r="AU129" s="852"/>
      <c r="AV129" s="852"/>
      <c r="AW129" s="852"/>
      <c r="AX129" s="852"/>
      <c r="AY129" s="852"/>
      <c r="AZ129" s="852"/>
      <c r="BA129" s="852"/>
      <c r="BB129" s="852"/>
      <c r="BC129" s="852"/>
      <c r="BD129" s="852"/>
      <c r="BE129" s="852"/>
      <c r="BF129" s="852"/>
      <c r="BG129" s="852"/>
      <c r="BH129" s="852"/>
      <c r="BI129" s="852"/>
      <c r="BJ129" s="852"/>
      <c r="BK129" s="852"/>
      <c r="BL129" s="852"/>
      <c r="BM129" s="852"/>
      <c r="BN129" s="852"/>
      <c r="BO129" s="852"/>
      <c r="BP129" s="852"/>
      <c r="BQ129" s="852"/>
      <c r="BR129" s="852"/>
      <c r="BS129" s="852"/>
      <c r="BT129" s="852"/>
      <c r="BU129" s="852"/>
      <c r="BV129" s="852"/>
      <c r="BW129" s="852"/>
      <c r="BX129" s="852"/>
      <c r="BY129" s="852"/>
      <c r="BZ129" s="852"/>
      <c r="CA129" s="852"/>
      <c r="CB129" s="852"/>
      <c r="CC129" s="852"/>
      <c r="CD129" s="852"/>
      <c r="CE129" s="852"/>
      <c r="CF129" s="852"/>
      <c r="CG129" s="852"/>
      <c r="CH129" s="852"/>
    </row>
    <row r="130" spans="2:86">
      <c r="B130" s="60" t="s">
        <v>100</v>
      </c>
      <c r="C130" s="1317">
        <f t="shared" ref="C130:N130" si="54">IF(C$15=0," ",C21/C$15)</f>
        <v>1.4358227348715451E-3</v>
      </c>
      <c r="D130" s="1317">
        <f t="shared" si="54"/>
        <v>1.5751561006678385E-3</v>
      </c>
      <c r="E130" s="1317">
        <f t="shared" si="54"/>
        <v>1.6669401233603135E-3</v>
      </c>
      <c r="F130" s="1317">
        <f t="shared" si="54"/>
        <v>1.6980150498009251E-3</v>
      </c>
      <c r="G130" s="1317">
        <f t="shared" si="54"/>
        <v>9.708468020551966E-4</v>
      </c>
      <c r="H130" s="1317">
        <f t="shared" si="54"/>
        <v>2.2614131823389281E-3</v>
      </c>
      <c r="I130" s="1317">
        <f t="shared" si="54"/>
        <v>2.264654967540183E-3</v>
      </c>
      <c r="J130" s="1317">
        <f t="shared" si="54"/>
        <v>2.5339352129283843E-3</v>
      </c>
      <c r="K130" s="1317">
        <f t="shared" si="54"/>
        <v>2.4155845515671983E-3</v>
      </c>
      <c r="L130" s="1317">
        <f t="shared" si="54"/>
        <v>2.361321812545347E-3</v>
      </c>
      <c r="M130" s="1555">
        <f t="shared" si="54"/>
        <v>3.0392000943259122E-3</v>
      </c>
      <c r="N130" s="1317">
        <f t="shared" si="54"/>
        <v>1.4122025173976141E-3</v>
      </c>
      <c r="O130" s="1317">
        <f t="shared" ref="O130" si="55">IF(O$15=0," ",O21/O$15)</f>
        <v>1.9650362133107877E-3</v>
      </c>
      <c r="P130" s="99">
        <v>1.8975300778287889E-3</v>
      </c>
      <c r="Q130" s="1177">
        <v>2.5000000000000001E-3</v>
      </c>
      <c r="R130" s="98">
        <v>3.3E-3</v>
      </c>
      <c r="S130" s="98">
        <v>3.3E-3</v>
      </c>
      <c r="T130" s="98">
        <v>3.3E-3</v>
      </c>
      <c r="U130" s="98">
        <v>3.5000000000000001E-3</v>
      </c>
      <c r="V130" s="98">
        <v>3.54578691650957E-3</v>
      </c>
      <c r="W130" s="98"/>
      <c r="X130" s="50"/>
      <c r="Y130" s="1382"/>
      <c r="Z130" s="1383"/>
      <c r="AA130" s="852"/>
      <c r="AB130" s="852"/>
      <c r="AC130" s="852"/>
      <c r="AD130" s="852"/>
      <c r="AE130" s="852"/>
      <c r="AF130" s="852"/>
      <c r="AG130" s="852"/>
      <c r="AH130" s="852"/>
      <c r="AI130" s="852"/>
      <c r="AJ130" s="852"/>
      <c r="AK130" s="852"/>
      <c r="AL130" s="852"/>
      <c r="AM130" s="852"/>
      <c r="AN130" s="852"/>
      <c r="AO130" s="852"/>
      <c r="AP130" s="852"/>
      <c r="AQ130" s="852"/>
      <c r="AR130" s="852"/>
      <c r="AS130" s="852"/>
      <c r="AT130" s="852"/>
      <c r="AU130" s="852"/>
      <c r="AV130" s="852"/>
      <c r="AW130" s="852"/>
      <c r="AX130" s="852"/>
      <c r="AY130" s="852"/>
      <c r="AZ130" s="852"/>
      <c r="BA130" s="852"/>
      <c r="BB130" s="852"/>
      <c r="BC130" s="852"/>
      <c r="BD130" s="852"/>
      <c r="BE130" s="852"/>
      <c r="BF130" s="852"/>
      <c r="BG130" s="852"/>
      <c r="BH130" s="852"/>
      <c r="BI130" s="852"/>
      <c r="BJ130" s="852"/>
      <c r="BK130" s="852"/>
      <c r="BL130" s="852"/>
      <c r="BM130" s="852"/>
      <c r="BN130" s="852"/>
      <c r="BO130" s="852"/>
      <c r="BP130" s="852"/>
      <c r="BQ130" s="852"/>
      <c r="BR130" s="852"/>
      <c r="BS130" s="852"/>
      <c r="BT130" s="852"/>
      <c r="BU130" s="852"/>
      <c r="BV130" s="852"/>
      <c r="BW130" s="852"/>
      <c r="BX130" s="852"/>
      <c r="BY130" s="852"/>
      <c r="BZ130" s="852"/>
      <c r="CA130" s="852"/>
      <c r="CB130" s="852"/>
      <c r="CC130" s="852"/>
      <c r="CD130" s="852"/>
      <c r="CE130" s="852"/>
      <c r="CF130" s="852"/>
      <c r="CG130" s="852"/>
      <c r="CH130" s="852"/>
    </row>
    <row r="131" spans="2:86" hidden="1">
      <c r="B131" s="60" t="s">
        <v>101</v>
      </c>
      <c r="C131" s="1318">
        <f t="shared" ref="C131:N131" si="56">IF(C$15=0," ",C22/C$15)</f>
        <v>0</v>
      </c>
      <c r="D131" s="1318">
        <f t="shared" si="56"/>
        <v>0</v>
      </c>
      <c r="E131" s="1319">
        <f t="shared" si="56"/>
        <v>0</v>
      </c>
      <c r="F131" s="1319">
        <f t="shared" si="56"/>
        <v>0</v>
      </c>
      <c r="G131" s="1319">
        <f t="shared" si="56"/>
        <v>0</v>
      </c>
      <c r="H131" s="1319">
        <f t="shared" si="56"/>
        <v>0</v>
      </c>
      <c r="I131" s="1319">
        <f t="shared" si="56"/>
        <v>0</v>
      </c>
      <c r="J131" s="1319">
        <f t="shared" si="56"/>
        <v>0</v>
      </c>
      <c r="K131" s="98">
        <f t="shared" si="56"/>
        <v>0</v>
      </c>
      <c r="L131" s="1329">
        <f t="shared" si="56"/>
        <v>0</v>
      </c>
      <c r="M131" s="1329">
        <f t="shared" si="56"/>
        <v>0</v>
      </c>
      <c r="N131" s="99">
        <f t="shared" si="56"/>
        <v>0</v>
      </c>
      <c r="O131" s="1318">
        <f t="shared" ref="O131" si="57">IF(O$15=0," ",O22/O$15)</f>
        <v>0</v>
      </c>
      <c r="P131" s="98"/>
      <c r="Q131" s="98"/>
      <c r="R131" s="98"/>
      <c r="S131" s="98"/>
      <c r="T131" s="98"/>
      <c r="U131" s="98"/>
      <c r="V131" s="98"/>
      <c r="W131" s="98"/>
      <c r="X131" s="50"/>
      <c r="Y131" s="1354"/>
      <c r="Z131" s="1060"/>
    </row>
    <row r="132" spans="2:86">
      <c r="D132" s="1291"/>
      <c r="Y132" s="1354"/>
      <c r="Z132" s="1060"/>
    </row>
    <row r="133" spans="2:86">
      <c r="D133" s="110"/>
      <c r="Y133" s="1354"/>
      <c r="Z133" s="1060"/>
    </row>
    <row r="134" spans="2:86">
      <c r="D134" s="110"/>
      <c r="Y134" s="1354"/>
      <c r="Z134" s="1060"/>
    </row>
    <row r="135" spans="2:86">
      <c r="B135" s="50"/>
      <c r="C135" s="395"/>
      <c r="D135" s="395"/>
      <c r="E135" s="395"/>
      <c r="F135" s="395"/>
      <c r="G135" s="395"/>
      <c r="H135" s="395"/>
      <c r="I135" s="395"/>
      <c r="J135" s="395"/>
      <c r="K135" s="395"/>
      <c r="L135" s="395"/>
      <c r="M135" s="62"/>
      <c r="N135" s="62"/>
      <c r="O135" s="88"/>
      <c r="P135" s="88"/>
      <c r="Q135" s="88"/>
      <c r="R135" s="88"/>
      <c r="S135" s="88"/>
      <c r="T135" s="88"/>
      <c r="U135" s="88"/>
      <c r="V135" s="1744"/>
      <c r="W135" s="1744"/>
      <c r="X135" s="50"/>
      <c r="Y135" s="1354"/>
      <c r="Z135" s="1060"/>
    </row>
    <row r="136" spans="2:86" ht="18" hidden="1">
      <c r="B136" s="406" t="s">
        <v>591</v>
      </c>
      <c r="C136" s="395"/>
      <c r="D136" s="395"/>
      <c r="E136" s="395"/>
      <c r="F136" s="395"/>
      <c r="G136" s="395"/>
      <c r="H136" s="395"/>
      <c r="I136" s="395"/>
      <c r="J136" s="395"/>
      <c r="K136" s="395"/>
      <c r="L136" s="395"/>
      <c r="M136" s="62"/>
      <c r="N136" s="62"/>
      <c r="O136" s="88"/>
      <c r="P136" s="88"/>
      <c r="Q136" s="88"/>
      <c r="R136" s="88"/>
      <c r="S136" s="88"/>
      <c r="T136" s="88"/>
      <c r="U136" s="88"/>
      <c r="V136" s="1744"/>
      <c r="W136" s="1744"/>
      <c r="X136" s="50"/>
      <c r="Y136" s="1354"/>
      <c r="Z136" s="1060"/>
    </row>
    <row r="137" spans="2:86" ht="18" hidden="1">
      <c r="B137" s="406" t="s">
        <v>366</v>
      </c>
      <c r="C137" s="91"/>
      <c r="E137" s="91"/>
      <c r="F137" s="91"/>
      <c r="G137" s="91"/>
      <c r="H137" s="91"/>
      <c r="I137" s="91"/>
      <c r="J137" s="91"/>
      <c r="K137" s="91"/>
      <c r="L137" s="91"/>
      <c r="M137" s="91"/>
      <c r="N137" s="62"/>
      <c r="O137" s="62"/>
      <c r="P137" s="62"/>
      <c r="Q137" s="62"/>
      <c r="R137" s="62"/>
      <c r="S137" s="62"/>
      <c r="T137" s="62"/>
      <c r="U137" s="62"/>
      <c r="V137" s="1745"/>
      <c r="W137" s="1745"/>
      <c r="X137" s="50"/>
      <c r="Y137" s="1354"/>
      <c r="Z137" s="1060"/>
    </row>
    <row r="138" spans="2:86" hidden="1">
      <c r="B138" s="93"/>
      <c r="C138" s="56" t="s">
        <v>44</v>
      </c>
      <c r="D138" s="56" t="s">
        <v>45</v>
      </c>
      <c r="E138" s="56" t="s">
        <v>46</v>
      </c>
      <c r="F138" s="56" t="s">
        <v>47</v>
      </c>
      <c r="G138" s="56" t="s">
        <v>48</v>
      </c>
      <c r="H138" s="56" t="s">
        <v>49</v>
      </c>
      <c r="I138" s="56" t="s">
        <v>50</v>
      </c>
      <c r="J138" s="56" t="s">
        <v>51</v>
      </c>
      <c r="K138" s="56" t="s">
        <v>52</v>
      </c>
      <c r="L138" s="56" t="s">
        <v>53</v>
      </c>
      <c r="M138" s="56" t="s">
        <v>54</v>
      </c>
      <c r="N138" s="56" t="s">
        <v>55</v>
      </c>
      <c r="O138" s="402" t="s">
        <v>42</v>
      </c>
      <c r="P138" s="712"/>
      <c r="Q138" s="712"/>
      <c r="R138" s="712"/>
      <c r="S138" s="712"/>
      <c r="T138" s="563"/>
      <c r="U138" s="561" t="s">
        <v>399</v>
      </c>
      <c r="V138" s="403" t="s">
        <v>314</v>
      </c>
      <c r="W138" s="403" t="s">
        <v>314</v>
      </c>
      <c r="X138" s="403" t="s">
        <v>208</v>
      </c>
      <c r="Y138" s="1355"/>
      <c r="Z138" s="1060"/>
    </row>
    <row r="139" spans="2:86" hidden="1">
      <c r="B139" s="407" t="s">
        <v>62</v>
      </c>
      <c r="C139" s="408">
        <v>41428.46</v>
      </c>
      <c r="D139" s="408">
        <v>37046.980000000003</v>
      </c>
      <c r="E139" s="408">
        <v>9446.16</v>
      </c>
      <c r="F139" s="408"/>
      <c r="G139" s="408"/>
      <c r="H139" s="408"/>
      <c r="I139" s="408"/>
      <c r="J139" s="408"/>
      <c r="K139" s="408"/>
      <c r="L139" s="408"/>
      <c r="M139" s="408"/>
      <c r="N139" s="408"/>
      <c r="O139" s="411">
        <f t="shared" ref="O139:O145" si="58">SUM(C139:N139)</f>
        <v>87921.600000000006</v>
      </c>
      <c r="P139" s="714"/>
      <c r="Q139" s="714"/>
      <c r="R139" s="714"/>
      <c r="S139" s="714"/>
      <c r="T139" s="566"/>
      <c r="U139" s="410">
        <v>397670.11218261538</v>
      </c>
      <c r="V139" s="410">
        <v>47160.490000000005</v>
      </c>
      <c r="W139" s="410">
        <v>56380.3</v>
      </c>
      <c r="X139" s="405"/>
      <c r="Y139" s="1355"/>
      <c r="Z139" s="1060"/>
    </row>
    <row r="140" spans="2:86" hidden="1">
      <c r="B140" s="407" t="s">
        <v>63</v>
      </c>
      <c r="C140" s="408">
        <v>282.92</v>
      </c>
      <c r="D140" s="408">
        <v>219.14</v>
      </c>
      <c r="E140" s="408">
        <v>168.41</v>
      </c>
      <c r="F140" s="408"/>
      <c r="G140" s="408"/>
      <c r="H140" s="408"/>
      <c r="I140" s="408"/>
      <c r="J140" s="408"/>
      <c r="K140" s="408"/>
      <c r="L140" s="408"/>
      <c r="M140" s="408"/>
      <c r="N140" s="408"/>
      <c r="O140" s="411">
        <f t="shared" si="58"/>
        <v>670.47</v>
      </c>
      <c r="P140" s="714"/>
      <c r="Q140" s="714"/>
      <c r="R140" s="714"/>
      <c r="S140" s="714"/>
      <c r="T140" s="566"/>
      <c r="U140" s="410">
        <v>5413.2136925217119</v>
      </c>
      <c r="V140" s="410">
        <v>783.34999999999991</v>
      </c>
      <c r="W140" s="410">
        <v>1088.1199999999999</v>
      </c>
      <c r="X140" s="405"/>
      <c r="Y140" s="1355"/>
      <c r="Z140" s="1060"/>
    </row>
    <row r="141" spans="2:86" hidden="1">
      <c r="B141" s="407" t="s">
        <v>64</v>
      </c>
      <c r="C141" s="408">
        <v>34.81</v>
      </c>
      <c r="D141" s="408">
        <v>213.51</v>
      </c>
      <c r="E141" s="408">
        <v>3427.41</v>
      </c>
      <c r="F141" s="408"/>
      <c r="G141" s="408"/>
      <c r="H141" s="408"/>
      <c r="I141" s="408"/>
      <c r="J141" s="408"/>
      <c r="K141" s="408"/>
      <c r="L141" s="408"/>
      <c r="M141" s="408"/>
      <c r="N141" s="408"/>
      <c r="O141" s="411">
        <f t="shared" si="58"/>
        <v>3675.73</v>
      </c>
      <c r="P141" s="714"/>
      <c r="Q141" s="714"/>
      <c r="R141" s="714"/>
      <c r="S141" s="714"/>
      <c r="T141" s="566"/>
      <c r="U141" s="410">
        <v>963.49655140186906</v>
      </c>
      <c r="V141" s="410">
        <v>112.24000000000012</v>
      </c>
      <c r="W141" s="410">
        <v>1078.0600000000002</v>
      </c>
      <c r="X141" s="405"/>
      <c r="Y141" s="1355"/>
      <c r="Z141" s="1060"/>
    </row>
    <row r="142" spans="2:86" hidden="1">
      <c r="B142" s="407" t="s">
        <v>65</v>
      </c>
      <c r="C142" s="408">
        <v>0</v>
      </c>
      <c r="D142" s="408">
        <v>0</v>
      </c>
      <c r="E142" s="408">
        <v>0</v>
      </c>
      <c r="F142" s="408"/>
      <c r="G142" s="408"/>
      <c r="H142" s="408"/>
      <c r="I142" s="408"/>
      <c r="J142" s="408"/>
      <c r="K142" s="408"/>
      <c r="L142" s="408"/>
      <c r="M142" s="408"/>
      <c r="N142" s="408"/>
      <c r="O142" s="411">
        <f t="shared" si="58"/>
        <v>0</v>
      </c>
      <c r="P142" s="714"/>
      <c r="Q142" s="714"/>
      <c r="R142" s="714"/>
      <c r="S142" s="714"/>
      <c r="T142" s="566"/>
      <c r="U142" s="410">
        <v>0</v>
      </c>
      <c r="V142" s="410">
        <v>0</v>
      </c>
      <c r="W142" s="410">
        <v>0</v>
      </c>
      <c r="X142" s="405"/>
      <c r="Y142" s="1355"/>
      <c r="Z142" s="1060"/>
    </row>
    <row r="143" spans="2:86" hidden="1">
      <c r="B143" s="407" t="s">
        <v>66</v>
      </c>
      <c r="C143" s="408">
        <v>40556</v>
      </c>
      <c r="D143" s="408">
        <v>43470</v>
      </c>
      <c r="E143" s="408">
        <v>16875</v>
      </c>
      <c r="F143" s="408"/>
      <c r="G143" s="408"/>
      <c r="H143" s="408"/>
      <c r="I143" s="408"/>
      <c r="J143" s="408"/>
      <c r="K143" s="408"/>
      <c r="L143" s="408"/>
      <c r="M143" s="408"/>
      <c r="N143" s="408"/>
      <c r="O143" s="411">
        <f t="shared" si="58"/>
        <v>100901</v>
      </c>
      <c r="P143" s="714"/>
      <c r="Q143" s="714"/>
      <c r="R143" s="714"/>
      <c r="S143" s="714"/>
      <c r="T143" s="566"/>
      <c r="U143" s="410">
        <v>446748.27570093458</v>
      </c>
      <c r="V143" s="410">
        <v>56750.586675666244</v>
      </c>
      <c r="W143" s="410">
        <v>69170</v>
      </c>
      <c r="X143" s="405"/>
      <c r="Y143" s="1355"/>
      <c r="Z143" s="1060"/>
    </row>
    <row r="144" spans="2:86" hidden="1">
      <c r="B144" s="407" t="s">
        <v>67</v>
      </c>
      <c r="C144" s="408">
        <v>512230</v>
      </c>
      <c r="D144" s="408">
        <v>487650</v>
      </c>
      <c r="E144" s="408">
        <v>509430</v>
      </c>
      <c r="F144" s="408"/>
      <c r="G144" s="408"/>
      <c r="H144" s="408"/>
      <c r="I144" s="408"/>
      <c r="J144" s="408"/>
      <c r="K144" s="408"/>
      <c r="L144" s="408"/>
      <c r="M144" s="408"/>
      <c r="N144" s="408"/>
      <c r="O144" s="411">
        <f t="shared" si="58"/>
        <v>1509310</v>
      </c>
      <c r="P144" s="714"/>
      <c r="Q144" s="714"/>
      <c r="R144" s="714"/>
      <c r="S144" s="714"/>
      <c r="T144" s="566"/>
      <c r="U144" s="410">
        <v>6236461.3481399715</v>
      </c>
      <c r="V144" s="410">
        <v>677691.79961825535</v>
      </c>
      <c r="W144" s="410">
        <v>891400</v>
      </c>
      <c r="X144" s="405"/>
      <c r="Y144" s="1355"/>
      <c r="Z144" s="1060"/>
    </row>
    <row r="145" spans="2:26" hidden="1">
      <c r="B145" s="407" t="s">
        <v>68</v>
      </c>
      <c r="C145" s="621">
        <v>4310300</v>
      </c>
      <c r="D145" s="621">
        <v>3874000</v>
      </c>
      <c r="E145" s="621">
        <v>1726450</v>
      </c>
      <c r="F145" s="621"/>
      <c r="G145" s="621"/>
      <c r="H145" s="621"/>
      <c r="I145" s="621"/>
      <c r="J145" s="621"/>
      <c r="K145" s="621"/>
      <c r="L145" s="621"/>
      <c r="M145" s="621"/>
      <c r="N145" s="621"/>
      <c r="O145" s="411">
        <f t="shared" si="58"/>
        <v>9910750</v>
      </c>
      <c r="P145" s="714"/>
      <c r="Q145" s="714"/>
      <c r="R145" s="714"/>
      <c r="S145" s="714"/>
      <c r="T145" s="566"/>
      <c r="U145" s="410">
        <v>46595390.835327096</v>
      </c>
      <c r="V145" s="410">
        <v>5678863.8898824593</v>
      </c>
      <c r="W145" s="410">
        <v>7093530</v>
      </c>
      <c r="X145" s="405"/>
      <c r="Y145" s="1355"/>
      <c r="Z145" s="1060"/>
    </row>
    <row r="146" spans="2:26" hidden="1">
      <c r="Y146" s="1354"/>
      <c r="Z146" s="1060"/>
    </row>
    <row r="147" spans="2:26" hidden="1">
      <c r="B147" s="407" t="s">
        <v>84</v>
      </c>
      <c r="C147" s="412">
        <f t="shared" ref="C147:F147" si="59">C139/C$15</f>
        <v>2.7331338328761441</v>
      </c>
      <c r="D147" s="412">
        <f t="shared" si="59"/>
        <v>2.709009635500645</v>
      </c>
      <c r="E147" s="412">
        <f t="shared" si="59"/>
        <v>0.61259660425152729</v>
      </c>
      <c r="F147" s="412">
        <f t="shared" si="59"/>
        <v>0</v>
      </c>
      <c r="G147" s="412">
        <f>G139/G$15</f>
        <v>0</v>
      </c>
      <c r="H147" s="412">
        <f t="shared" ref="H147:M147" si="60">H139/H$15</f>
        <v>0</v>
      </c>
      <c r="I147" s="412">
        <f t="shared" si="60"/>
        <v>0</v>
      </c>
      <c r="J147" s="412">
        <f t="shared" si="60"/>
        <v>0</v>
      </c>
      <c r="K147" s="412">
        <f t="shared" si="60"/>
        <v>0</v>
      </c>
      <c r="L147" s="412">
        <f t="shared" si="60"/>
        <v>0</v>
      </c>
      <c r="M147" s="412">
        <f t="shared" si="60"/>
        <v>0</v>
      </c>
      <c r="N147" s="412">
        <f t="shared" ref="N147" si="61">IFERROR(N139/N$15," " )</f>
        <v>0</v>
      </c>
      <c r="O147" s="94">
        <f>O139/$O$15</f>
        <v>0.51864865461141174</v>
      </c>
      <c r="P147" s="713"/>
      <c r="Q147" s="713"/>
      <c r="R147" s="713"/>
      <c r="S147" s="713"/>
      <c r="T147" s="564"/>
      <c r="U147" s="564"/>
      <c r="V147" s="398">
        <v>2.556</v>
      </c>
      <c r="W147" s="398">
        <v>2.6459999999999999</v>
      </c>
      <c r="X147" s="398">
        <v>3.17</v>
      </c>
      <c r="Y147" s="1356"/>
      <c r="Z147" s="1060"/>
    </row>
    <row r="148" spans="2:26" hidden="1">
      <c r="B148" s="407" t="s">
        <v>85</v>
      </c>
      <c r="C148" s="412">
        <f t="shared" ref="C148:F148" si="62">C140/C$15</f>
        <v>1.866490388484918E-2</v>
      </c>
      <c r="D148" s="412">
        <f t="shared" si="62"/>
        <v>1.6024312144299245E-2</v>
      </c>
      <c r="E148" s="412">
        <f t="shared" si="62"/>
        <v>1.0921622555832181E-2</v>
      </c>
      <c r="F148" s="412">
        <f t="shared" si="62"/>
        <v>0</v>
      </c>
      <c r="G148" s="412">
        <f t="shared" ref="G148:G153" si="63">G140/G$15</f>
        <v>0</v>
      </c>
      <c r="H148" s="412">
        <f t="shared" ref="H148:M148" si="64">H140/H$15</f>
        <v>0</v>
      </c>
      <c r="I148" s="412">
        <f t="shared" si="64"/>
        <v>0</v>
      </c>
      <c r="J148" s="412">
        <f t="shared" si="64"/>
        <v>0</v>
      </c>
      <c r="K148" s="412">
        <f t="shared" si="64"/>
        <v>0</v>
      </c>
      <c r="L148" s="412">
        <f t="shared" si="64"/>
        <v>0</v>
      </c>
      <c r="M148" s="412">
        <f t="shared" si="64"/>
        <v>0</v>
      </c>
      <c r="N148" s="412">
        <f t="shared" ref="N148:N153" si="65">IFERROR(N140/N$15," " )</f>
        <v>0</v>
      </c>
      <c r="O148" s="94">
        <f t="shared" ref="O148:O153" si="66">O140/$O$15</f>
        <v>3.9550959429459111E-3</v>
      </c>
      <c r="P148" s="713"/>
      <c r="Q148" s="713"/>
      <c r="R148" s="713"/>
      <c r="S148" s="713"/>
      <c r="T148" s="564"/>
      <c r="U148" s="564"/>
      <c r="V148" s="398">
        <v>3.9E-2</v>
      </c>
      <c r="W148" s="398">
        <v>4.2000000000000003E-2</v>
      </c>
      <c r="X148" s="398">
        <v>3.5400000000000001E-2</v>
      </c>
      <c r="Y148" s="1356"/>
      <c r="Z148" s="1060"/>
    </row>
    <row r="149" spans="2:26" hidden="1">
      <c r="B149" s="407" t="s">
        <v>86</v>
      </c>
      <c r="C149" s="412">
        <f t="shared" ref="C149:F149" si="67">C141/C$15</f>
        <v>2.2964983183642014E-3</v>
      </c>
      <c r="D149" s="412">
        <f t="shared" si="67"/>
        <v>1.5612626110839335E-2</v>
      </c>
      <c r="E149" s="412">
        <f t="shared" si="67"/>
        <v>0.22227230190656597</v>
      </c>
      <c r="F149" s="412">
        <f t="shared" si="67"/>
        <v>0</v>
      </c>
      <c r="G149" s="412">
        <f t="shared" si="63"/>
        <v>0</v>
      </c>
      <c r="H149" s="412">
        <f t="shared" ref="H149:M149" si="68">H141/H$15</f>
        <v>0</v>
      </c>
      <c r="I149" s="412">
        <f t="shared" si="68"/>
        <v>0</v>
      </c>
      <c r="J149" s="412">
        <f t="shared" si="68"/>
        <v>0</v>
      </c>
      <c r="K149" s="412">
        <f t="shared" si="68"/>
        <v>0</v>
      </c>
      <c r="L149" s="412">
        <f t="shared" si="68"/>
        <v>0</v>
      </c>
      <c r="M149" s="412">
        <f t="shared" si="68"/>
        <v>0</v>
      </c>
      <c r="N149" s="412">
        <f t="shared" si="65"/>
        <v>0</v>
      </c>
      <c r="O149" s="94">
        <f t="shared" si="66"/>
        <v>2.1683095157672336E-2</v>
      </c>
      <c r="P149" s="713"/>
      <c r="Q149" s="713"/>
      <c r="R149" s="713"/>
      <c r="S149" s="713"/>
      <c r="T149" s="564"/>
      <c r="U149" s="564"/>
      <c r="V149" s="398">
        <v>4.7E-2</v>
      </c>
      <c r="W149" s="398">
        <v>6.4000000000000001E-2</v>
      </c>
      <c r="X149" s="398">
        <v>0.16500000000000001</v>
      </c>
      <c r="Y149" s="1356"/>
      <c r="Z149" s="1060"/>
    </row>
    <row r="150" spans="2:26" hidden="1">
      <c r="B150" s="407" t="s">
        <v>87</v>
      </c>
      <c r="C150" s="412">
        <f t="shared" ref="C150:F150" si="69">C142/C$15</f>
        <v>0</v>
      </c>
      <c r="D150" s="412">
        <f t="shared" si="69"/>
        <v>0</v>
      </c>
      <c r="E150" s="412">
        <f t="shared" si="69"/>
        <v>0</v>
      </c>
      <c r="F150" s="412">
        <f t="shared" si="69"/>
        <v>0</v>
      </c>
      <c r="G150" s="412">
        <f t="shared" si="63"/>
        <v>0</v>
      </c>
      <c r="H150" s="412">
        <f t="shared" ref="H150:M150" si="70">H142/H$15</f>
        <v>0</v>
      </c>
      <c r="I150" s="412">
        <f t="shared" si="70"/>
        <v>0</v>
      </c>
      <c r="J150" s="412">
        <f t="shared" si="70"/>
        <v>0</v>
      </c>
      <c r="K150" s="412">
        <f t="shared" si="70"/>
        <v>0</v>
      </c>
      <c r="L150" s="412">
        <f t="shared" si="70"/>
        <v>0</v>
      </c>
      <c r="M150" s="412">
        <f t="shared" si="70"/>
        <v>0</v>
      </c>
      <c r="N150" s="412">
        <f t="shared" si="65"/>
        <v>0</v>
      </c>
      <c r="O150" s="94">
        <f t="shared" si="66"/>
        <v>0</v>
      </c>
      <c r="P150" s="713"/>
      <c r="Q150" s="713"/>
      <c r="R150" s="713"/>
      <c r="S150" s="713"/>
      <c r="T150" s="564"/>
      <c r="U150" s="564"/>
      <c r="V150" s="398">
        <v>0</v>
      </c>
      <c r="W150" s="398">
        <v>0</v>
      </c>
      <c r="X150" s="398">
        <v>5.0000000000000001E-3</v>
      </c>
      <c r="Y150" s="1356"/>
      <c r="Z150" s="1060"/>
    </row>
    <row r="151" spans="2:26" hidden="1">
      <c r="B151" s="407" t="s">
        <v>88</v>
      </c>
      <c r="C151" s="412">
        <f t="shared" ref="C151:F151" si="71">C143/C$15</f>
        <v>2.6755755759718056</v>
      </c>
      <c r="D151" s="412">
        <f t="shared" si="71"/>
        <v>3.1786841695385974</v>
      </c>
      <c r="E151" s="412">
        <f t="shared" si="71"/>
        <v>1.0943672028363403</v>
      </c>
      <c r="F151" s="412">
        <f t="shared" si="71"/>
        <v>0</v>
      </c>
      <c r="G151" s="412">
        <f t="shared" si="63"/>
        <v>0</v>
      </c>
      <c r="H151" s="412">
        <f t="shared" ref="H151:M151" si="72">H143/H$15</f>
        <v>0</v>
      </c>
      <c r="I151" s="412">
        <f t="shared" si="72"/>
        <v>0</v>
      </c>
      <c r="J151" s="412">
        <f t="shared" si="72"/>
        <v>0</v>
      </c>
      <c r="K151" s="412">
        <f t="shared" si="72"/>
        <v>0</v>
      </c>
      <c r="L151" s="412">
        <f t="shared" si="72"/>
        <v>0</v>
      </c>
      <c r="M151" s="412">
        <f t="shared" si="72"/>
        <v>0</v>
      </c>
      <c r="N151" s="412">
        <f t="shared" si="65"/>
        <v>0</v>
      </c>
      <c r="O151" s="94">
        <f t="shared" si="66"/>
        <v>0.59521400769487876</v>
      </c>
      <c r="P151" s="713"/>
      <c r="Q151" s="713"/>
      <c r="R151" s="713"/>
      <c r="S151" s="713"/>
      <c r="T151" s="564"/>
      <c r="U151" s="564"/>
      <c r="V151" s="398">
        <v>2.9319999999999999</v>
      </c>
      <c r="W151" s="398">
        <v>3.0219999999999998</v>
      </c>
      <c r="X151" s="398">
        <v>5.3120000000000003</v>
      </c>
      <c r="Y151" s="1356"/>
      <c r="Z151" s="1060"/>
    </row>
    <row r="152" spans="2:26" hidden="1">
      <c r="B152" s="407" t="s">
        <v>89</v>
      </c>
      <c r="C152" s="412">
        <f t="shared" ref="C152:F152" si="73">C144/C$15</f>
        <v>33.793028831246623</v>
      </c>
      <c r="D152" s="412">
        <f t="shared" si="73"/>
        <v>35.658737871532026</v>
      </c>
      <c r="E152" s="412">
        <f t="shared" si="73"/>
        <v>33.037243504646923</v>
      </c>
      <c r="F152" s="412">
        <f t="shared" si="73"/>
        <v>0</v>
      </c>
      <c r="G152" s="412">
        <f t="shared" si="63"/>
        <v>0</v>
      </c>
      <c r="H152" s="412">
        <f t="shared" ref="H152:M152" si="74">H144/H$15</f>
        <v>0</v>
      </c>
      <c r="I152" s="412">
        <f t="shared" si="74"/>
        <v>0</v>
      </c>
      <c r="J152" s="412">
        <f t="shared" si="74"/>
        <v>0</v>
      </c>
      <c r="K152" s="412">
        <f t="shared" si="74"/>
        <v>0</v>
      </c>
      <c r="L152" s="412">
        <f t="shared" si="74"/>
        <v>0</v>
      </c>
      <c r="M152" s="412">
        <f t="shared" si="74"/>
        <v>0</v>
      </c>
      <c r="N152" s="412">
        <f t="shared" si="65"/>
        <v>0</v>
      </c>
      <c r="O152" s="409">
        <f t="shared" si="66"/>
        <v>8.9034048617353392</v>
      </c>
      <c r="P152" s="715"/>
      <c r="Q152" s="715"/>
      <c r="R152" s="715"/>
      <c r="S152" s="715"/>
      <c r="T152" s="565"/>
      <c r="U152" s="565"/>
      <c r="V152" s="399">
        <v>43</v>
      </c>
      <c r="W152" s="399">
        <v>45.069000000000003</v>
      </c>
      <c r="X152" s="399">
        <v>45</v>
      </c>
      <c r="Y152" s="1356"/>
      <c r="Z152" s="1060"/>
    </row>
    <row r="153" spans="2:26" hidden="1">
      <c r="B153" s="413" t="s">
        <v>209</v>
      </c>
      <c r="C153" s="412">
        <f t="shared" ref="C153:F153" si="75">C145/C$15</f>
        <v>284.36072110443024</v>
      </c>
      <c r="D153" s="412">
        <f t="shared" si="75"/>
        <v>283.28094025287612</v>
      </c>
      <c r="E153" s="412">
        <f t="shared" si="75"/>
        <v>111.96268191625478</v>
      </c>
      <c r="F153" s="412">
        <f t="shared" si="75"/>
        <v>0</v>
      </c>
      <c r="G153" s="412">
        <f t="shared" si="63"/>
        <v>0</v>
      </c>
      <c r="H153" s="412">
        <f t="shared" ref="H153:M153" si="76">H145/H$15</f>
        <v>0</v>
      </c>
      <c r="I153" s="412">
        <f t="shared" si="76"/>
        <v>0</v>
      </c>
      <c r="J153" s="412">
        <f t="shared" si="76"/>
        <v>0</v>
      </c>
      <c r="K153" s="412">
        <f t="shared" si="76"/>
        <v>0</v>
      </c>
      <c r="L153" s="412">
        <f t="shared" si="76"/>
        <v>0</v>
      </c>
      <c r="M153" s="412">
        <f t="shared" si="76"/>
        <v>0</v>
      </c>
      <c r="N153" s="412">
        <f t="shared" si="65"/>
        <v>0</v>
      </c>
      <c r="O153" s="409">
        <f t="shared" si="66"/>
        <v>58.463416881517716</v>
      </c>
      <c r="P153" s="715"/>
      <c r="Q153" s="715"/>
      <c r="R153" s="715"/>
      <c r="S153" s="715"/>
      <c r="T153" s="565"/>
      <c r="U153" s="565"/>
      <c r="V153" s="399">
        <v>320</v>
      </c>
      <c r="W153" s="399">
        <v>340.69</v>
      </c>
      <c r="X153" s="399">
        <v>368</v>
      </c>
      <c r="Y153" s="1356"/>
      <c r="Z153" s="1060"/>
    </row>
    <row r="154" spans="2:26">
      <c r="Y154" s="1354"/>
      <c r="Z154" s="1060"/>
    </row>
    <row r="155" spans="2:26">
      <c r="Y155" s="1354"/>
      <c r="Z155" s="1060"/>
    </row>
    <row r="156" spans="2:26">
      <c r="Y156" s="1354"/>
      <c r="Z156" s="1060"/>
    </row>
    <row r="157" spans="2:26">
      <c r="Y157" s="1354"/>
      <c r="Z157" s="1060"/>
    </row>
    <row r="158" spans="2:26">
      <c r="Y158" s="1354"/>
      <c r="Z158" s="1060"/>
    </row>
    <row r="159" spans="2:26">
      <c r="Y159" s="1354"/>
      <c r="Z159" s="1060"/>
    </row>
    <row r="160" spans="2:26">
      <c r="Y160" s="1354"/>
      <c r="Z160" s="1060"/>
    </row>
    <row r="161" spans="25:26">
      <c r="Y161" s="1354"/>
      <c r="Z161" s="1060"/>
    </row>
    <row r="162" spans="25:26">
      <c r="Y162" s="1354"/>
      <c r="Z162" s="1060"/>
    </row>
    <row r="163" spans="25:26">
      <c r="Y163" s="1354"/>
      <c r="Z163" s="1060"/>
    </row>
    <row r="164" spans="25:26">
      <c r="Y164" s="1354"/>
      <c r="Z164" s="1060"/>
    </row>
    <row r="165" spans="25:26">
      <c r="Y165" s="1354"/>
      <c r="Z165" s="1060"/>
    </row>
    <row r="166" spans="25:26">
      <c r="Y166" s="1354"/>
      <c r="Z166" s="1060"/>
    </row>
    <row r="167" spans="25:26">
      <c r="Y167" s="1354"/>
      <c r="Z167" s="1060"/>
    </row>
    <row r="168" spans="25:26">
      <c r="Y168" s="1354"/>
      <c r="Z168" s="1060"/>
    </row>
    <row r="169" spans="25:26">
      <c r="Y169" s="1354"/>
      <c r="Z169" s="1060"/>
    </row>
    <row r="170" spans="25:26">
      <c r="Y170" s="1354"/>
      <c r="Z170" s="1060"/>
    </row>
    <row r="171" spans="25:26">
      <c r="Y171" s="1354"/>
      <c r="Z171" s="1060"/>
    </row>
    <row r="172" spans="25:26">
      <c r="Y172" s="1354"/>
      <c r="Z172" s="1060"/>
    </row>
    <row r="173" spans="25:26">
      <c r="Y173" s="1354"/>
      <c r="Z173" s="1060"/>
    </row>
    <row r="174" spans="25:26">
      <c r="Y174" s="1354"/>
      <c r="Z174" s="1060"/>
    </row>
    <row r="175" spans="25:26">
      <c r="Y175" s="1354"/>
      <c r="Z175" s="1060"/>
    </row>
    <row r="176" spans="25:26">
      <c r="Y176" s="1354"/>
      <c r="Z176" s="1060"/>
    </row>
    <row r="177" spans="25:26">
      <c r="Y177" s="1354"/>
      <c r="Z177" s="1060"/>
    </row>
    <row r="178" spans="25:26">
      <c r="Y178" s="1354"/>
      <c r="Z178" s="1060"/>
    </row>
    <row r="179" spans="25:26">
      <c r="Y179" s="1354"/>
      <c r="Z179" s="1060"/>
    </row>
    <row r="180" spans="25:26">
      <c r="Y180" s="1354"/>
      <c r="Z180" s="1060"/>
    </row>
    <row r="181" spans="25:26">
      <c r="Y181" s="1354"/>
      <c r="Z181" s="1060"/>
    </row>
    <row r="182" spans="25:26">
      <c r="Y182" s="1354"/>
      <c r="Z182" s="1060"/>
    </row>
    <row r="183" spans="25:26">
      <c r="Y183" s="1354"/>
      <c r="Z183" s="1060"/>
    </row>
    <row r="184" spans="25:26">
      <c r="Y184" s="1354"/>
      <c r="Z184" s="1060"/>
    </row>
    <row r="185" spans="25:26">
      <c r="Y185" s="1354"/>
      <c r="Z185" s="1060"/>
    </row>
    <row r="186" spans="25:26">
      <c r="Y186" s="1354"/>
      <c r="Z186" s="1060"/>
    </row>
    <row r="187" spans="25:26">
      <c r="Y187" s="1354"/>
      <c r="Z187" s="1060"/>
    </row>
    <row r="188" spans="25:26">
      <c r="Y188" s="1354"/>
      <c r="Z188" s="1060"/>
    </row>
    <row r="189" spans="25:26">
      <c r="Y189" s="1354"/>
      <c r="Z189" s="1060"/>
    </row>
    <row r="190" spans="25:26">
      <c r="Y190" s="1354"/>
      <c r="Z190" s="1060"/>
    </row>
    <row r="191" spans="25:26">
      <c r="Y191" s="1354"/>
      <c r="Z191" s="1060"/>
    </row>
    <row r="192" spans="25:26">
      <c r="Y192" s="1354"/>
      <c r="Z192" s="1060"/>
    </row>
    <row r="193" spans="25:26">
      <c r="Y193" s="1354"/>
      <c r="Z193" s="1060"/>
    </row>
    <row r="194" spans="25:26">
      <c r="Y194" s="1354"/>
      <c r="Z194" s="1060"/>
    </row>
    <row r="195" spans="25:26">
      <c r="Y195" s="1354"/>
      <c r="Z195" s="1060"/>
    </row>
    <row r="196" spans="25:26">
      <c r="Y196" s="1354"/>
      <c r="Z196" s="1060"/>
    </row>
    <row r="197" spans="25:26">
      <c r="Y197" s="1354"/>
      <c r="Z197" s="1060"/>
    </row>
    <row r="198" spans="25:26">
      <c r="Y198" s="1354"/>
      <c r="Z198" s="1060"/>
    </row>
    <row r="199" spans="25:26">
      <c r="Y199" s="1354"/>
      <c r="Z199" s="1060"/>
    </row>
    <row r="200" spans="25:26">
      <c r="Y200" s="1354"/>
      <c r="Z200" s="1060"/>
    </row>
    <row r="201" spans="25:26">
      <c r="Y201" s="1354"/>
      <c r="Z201" s="1060"/>
    </row>
    <row r="202" spans="25:26">
      <c r="Y202" s="1354"/>
      <c r="Z202" s="1060"/>
    </row>
    <row r="203" spans="25:26">
      <c r="Y203" s="1354"/>
      <c r="Z203" s="1060"/>
    </row>
    <row r="204" spans="25:26">
      <c r="Y204" s="1354"/>
      <c r="Z204" s="1060"/>
    </row>
    <row r="205" spans="25:26">
      <c r="Y205" s="1354"/>
      <c r="Z205" s="1060"/>
    </row>
    <row r="206" spans="25:26">
      <c r="Y206" s="1354"/>
      <c r="Z206" s="1060"/>
    </row>
    <row r="207" spans="25:26">
      <c r="Y207" s="1354"/>
      <c r="Z207" s="1060"/>
    </row>
    <row r="208" spans="25:26">
      <c r="Y208" s="1354"/>
      <c r="Z208" s="1060"/>
    </row>
    <row r="209" spans="25:26">
      <c r="Y209" s="1354"/>
      <c r="Z209" s="1060"/>
    </row>
    <row r="210" spans="25:26">
      <c r="Y210" s="1354"/>
      <c r="Z210" s="1060"/>
    </row>
    <row r="211" spans="25:26">
      <c r="Y211" s="1354"/>
      <c r="Z211" s="1060"/>
    </row>
    <row r="212" spans="25:26">
      <c r="Y212" s="1354"/>
      <c r="Z212" s="1060"/>
    </row>
    <row r="213" spans="25:26">
      <c r="Y213" s="1354"/>
      <c r="Z213" s="1060"/>
    </row>
    <row r="214" spans="25:26">
      <c r="Y214" s="1354"/>
      <c r="Z214" s="1060"/>
    </row>
    <row r="215" spans="25:26">
      <c r="Y215" s="1354"/>
      <c r="Z215" s="1060"/>
    </row>
    <row r="216" spans="25:26">
      <c r="Y216" s="1354"/>
      <c r="Z216" s="1060"/>
    </row>
    <row r="217" spans="25:26">
      <c r="Y217" s="1354"/>
      <c r="Z217" s="1060"/>
    </row>
    <row r="218" spans="25:26">
      <c r="Y218" s="1354"/>
      <c r="Z218" s="1060"/>
    </row>
    <row r="219" spans="25:26">
      <c r="Y219" s="1354"/>
      <c r="Z219" s="1060"/>
    </row>
    <row r="220" spans="25:26">
      <c r="Y220" s="1354"/>
      <c r="Z220" s="1060"/>
    </row>
    <row r="221" spans="25:26">
      <c r="Y221" s="1354"/>
      <c r="Z221" s="1060"/>
    </row>
    <row r="222" spans="25:26">
      <c r="Y222" s="1354"/>
      <c r="Z222" s="1060"/>
    </row>
    <row r="223" spans="25:26">
      <c r="Y223" s="1354"/>
      <c r="Z223" s="1060"/>
    </row>
    <row r="224" spans="25:26">
      <c r="Y224" s="1354"/>
      <c r="Z224" s="1060"/>
    </row>
    <row r="225" spans="25:26">
      <c r="Y225" s="1354"/>
      <c r="Z225" s="1060"/>
    </row>
    <row r="226" spans="25:26">
      <c r="Y226" s="1354"/>
      <c r="Z226" s="1060"/>
    </row>
    <row r="227" spans="25:26">
      <c r="Y227" s="1354"/>
      <c r="Z227" s="1060"/>
    </row>
    <row r="228" spans="25:26">
      <c r="Y228" s="1354"/>
      <c r="Z228" s="1060"/>
    </row>
    <row r="229" spans="25:26">
      <c r="Y229" s="1354"/>
      <c r="Z229" s="1060"/>
    </row>
    <row r="230" spans="25:26">
      <c r="Y230" s="1354"/>
      <c r="Z230" s="1060"/>
    </row>
    <row r="231" spans="25:26">
      <c r="Y231" s="1354"/>
      <c r="Z231" s="1060"/>
    </row>
    <row r="232" spans="25:26">
      <c r="Y232" s="1354"/>
      <c r="Z232" s="1060"/>
    </row>
    <row r="233" spans="25:26">
      <c r="Y233" s="1354"/>
      <c r="Z233" s="1060"/>
    </row>
    <row r="234" spans="25:26">
      <c r="Y234" s="1354"/>
      <c r="Z234" s="1060"/>
    </row>
    <row r="235" spans="25:26">
      <c r="Y235" s="1354"/>
      <c r="Z235" s="1060"/>
    </row>
    <row r="236" spans="25:26">
      <c r="Y236" s="1354"/>
      <c r="Z236" s="1060"/>
    </row>
    <row r="237" spans="25:26">
      <c r="Y237" s="1354"/>
      <c r="Z237" s="1060"/>
    </row>
    <row r="238" spans="25:26">
      <c r="Y238" s="1354"/>
      <c r="Z238" s="1060"/>
    </row>
    <row r="239" spans="25:26">
      <c r="Y239" s="1354"/>
      <c r="Z239" s="1060"/>
    </row>
    <row r="240" spans="25:26">
      <c r="Y240" s="1354"/>
      <c r="Z240" s="1060"/>
    </row>
    <row r="241" spans="25:26">
      <c r="Y241" s="1354"/>
      <c r="Z241" s="1060"/>
    </row>
    <row r="242" spans="25:26">
      <c r="Y242" s="1354"/>
      <c r="Z242" s="1060"/>
    </row>
    <row r="243" spans="25:26">
      <c r="Y243" s="1354"/>
      <c r="Z243" s="1060"/>
    </row>
    <row r="244" spans="25:26">
      <c r="Y244" s="1354"/>
      <c r="Z244" s="1060"/>
    </row>
    <row r="245" spans="25:26">
      <c r="Y245" s="1354"/>
      <c r="Z245" s="1060"/>
    </row>
    <row r="246" spans="25:26">
      <c r="Y246" s="1354"/>
      <c r="Z246" s="1060"/>
    </row>
    <row r="247" spans="25:26">
      <c r="Y247" s="1354"/>
      <c r="Z247" s="1060"/>
    </row>
    <row r="248" spans="25:26">
      <c r="Y248" s="1354"/>
      <c r="Z248" s="1060"/>
    </row>
    <row r="249" spans="25:26">
      <c r="Y249" s="1354"/>
      <c r="Z249" s="1060"/>
    </row>
    <row r="250" spans="25:26">
      <c r="Y250" s="1354"/>
      <c r="Z250" s="1060"/>
    </row>
    <row r="251" spans="25:26">
      <c r="Y251" s="1354"/>
      <c r="Z251" s="1060"/>
    </row>
    <row r="252" spans="25:26">
      <c r="Y252" s="1354"/>
      <c r="Z252" s="1060"/>
    </row>
    <row r="253" spans="25:26">
      <c r="Y253" s="1354"/>
      <c r="Z253" s="1060"/>
    </row>
    <row r="254" spans="25:26">
      <c r="Y254" s="1354"/>
      <c r="Z254" s="1060"/>
    </row>
    <row r="255" spans="25:26">
      <c r="Y255" s="1354"/>
      <c r="Z255" s="1060"/>
    </row>
    <row r="256" spans="25:26">
      <c r="Y256" s="1354"/>
      <c r="Z256" s="1060"/>
    </row>
    <row r="257" spans="25:26">
      <c r="Y257" s="1354"/>
      <c r="Z257" s="1060"/>
    </row>
    <row r="258" spans="25:26">
      <c r="Y258" s="1354"/>
      <c r="Z258" s="1060"/>
    </row>
    <row r="259" spans="25:26">
      <c r="Y259" s="1354"/>
      <c r="Z259" s="1060"/>
    </row>
    <row r="260" spans="25:26">
      <c r="Y260" s="1354"/>
      <c r="Z260" s="1060"/>
    </row>
    <row r="261" spans="25:26">
      <c r="Y261" s="1354"/>
      <c r="Z261" s="1060"/>
    </row>
    <row r="262" spans="25:26">
      <c r="Y262" s="1354"/>
      <c r="Z262" s="1060"/>
    </row>
    <row r="263" spans="25:26">
      <c r="Y263" s="1354"/>
      <c r="Z263" s="1060"/>
    </row>
    <row r="264" spans="25:26">
      <c r="Y264" s="1354"/>
      <c r="Z264" s="1060"/>
    </row>
    <row r="265" spans="25:26">
      <c r="Y265" s="1354"/>
      <c r="Z265" s="1060"/>
    </row>
    <row r="266" spans="25:26">
      <c r="Y266" s="1354"/>
      <c r="Z266" s="1060"/>
    </row>
    <row r="267" spans="25:26">
      <c r="Y267" s="1354"/>
      <c r="Z267" s="1060"/>
    </row>
    <row r="268" spans="25:26">
      <c r="Y268" s="1354"/>
      <c r="Z268" s="1060"/>
    </row>
    <row r="269" spans="25:26">
      <c r="Y269" s="1354"/>
      <c r="Z269" s="1060"/>
    </row>
    <row r="270" spans="25:26">
      <c r="Y270" s="1354"/>
      <c r="Z270" s="1060"/>
    </row>
    <row r="271" spans="25:26">
      <c r="Y271" s="1354"/>
      <c r="Z271" s="1060"/>
    </row>
    <row r="272" spans="25:26">
      <c r="Y272" s="1354"/>
      <c r="Z272" s="1060"/>
    </row>
    <row r="273" spans="25:26">
      <c r="Y273" s="1354"/>
      <c r="Z273" s="1060"/>
    </row>
    <row r="274" spans="25:26">
      <c r="Y274" s="1354"/>
      <c r="Z274" s="1060"/>
    </row>
    <row r="275" spans="25:26">
      <c r="Y275" s="1354"/>
      <c r="Z275" s="1060"/>
    </row>
    <row r="276" spans="25:26">
      <c r="Y276" s="1354"/>
      <c r="Z276" s="1060"/>
    </row>
    <row r="277" spans="25:26">
      <c r="Y277" s="1354"/>
      <c r="Z277" s="1060"/>
    </row>
    <row r="278" spans="25:26">
      <c r="Y278" s="1354"/>
      <c r="Z278" s="1060"/>
    </row>
    <row r="279" spans="25:26">
      <c r="Y279" s="1354"/>
      <c r="Z279" s="1060"/>
    </row>
    <row r="280" spans="25:26">
      <c r="Y280" s="1354"/>
      <c r="Z280" s="1060"/>
    </row>
    <row r="281" spans="25:26">
      <c r="Y281" s="1354"/>
      <c r="Z281" s="1060"/>
    </row>
    <row r="282" spans="25:26">
      <c r="Y282" s="1354"/>
      <c r="Z282" s="1060"/>
    </row>
    <row r="283" spans="25:26">
      <c r="Y283" s="1354"/>
      <c r="Z283" s="1060"/>
    </row>
    <row r="284" spans="25:26">
      <c r="Y284" s="1354"/>
      <c r="Z284" s="1060"/>
    </row>
    <row r="285" spans="25:26">
      <c r="Y285" s="1354"/>
      <c r="Z285" s="1060"/>
    </row>
    <row r="286" spans="25:26">
      <c r="Y286" s="1354"/>
      <c r="Z286" s="1060"/>
    </row>
    <row r="287" spans="25:26">
      <c r="Y287" s="1354"/>
      <c r="Z287" s="1060"/>
    </row>
    <row r="288" spans="25:26">
      <c r="Y288" s="1354"/>
      <c r="Z288" s="1060"/>
    </row>
    <row r="289" spans="25:26">
      <c r="Y289" s="1354"/>
      <c r="Z289" s="1060"/>
    </row>
    <row r="290" spans="25:26">
      <c r="Y290" s="1354"/>
      <c r="Z290" s="1060"/>
    </row>
    <row r="291" spans="25:26">
      <c r="Y291" s="1354"/>
      <c r="Z291" s="1060"/>
    </row>
    <row r="292" spans="25:26">
      <c r="Y292" s="1354"/>
      <c r="Z292" s="1060"/>
    </row>
    <row r="293" spans="25:26">
      <c r="Y293" s="1354"/>
      <c r="Z293" s="1060"/>
    </row>
    <row r="294" spans="25:26">
      <c r="Y294" s="1354"/>
      <c r="Z294" s="1060"/>
    </row>
    <row r="295" spans="25:26">
      <c r="Y295" s="1354"/>
      <c r="Z295" s="1060"/>
    </row>
    <row r="296" spans="25:26">
      <c r="Y296" s="1354"/>
      <c r="Z296" s="1060"/>
    </row>
    <row r="297" spans="25:26">
      <c r="Y297" s="1354"/>
      <c r="Z297" s="1060"/>
    </row>
    <row r="298" spans="25:26">
      <c r="Y298" s="1354"/>
      <c r="Z298" s="1060"/>
    </row>
    <row r="299" spans="25:26">
      <c r="Y299" s="1354"/>
      <c r="Z299" s="1060"/>
    </row>
    <row r="300" spans="25:26">
      <c r="Y300" s="1354"/>
      <c r="Z300" s="1060"/>
    </row>
    <row r="301" spans="25:26">
      <c r="Y301" s="1354"/>
      <c r="Z301" s="1060"/>
    </row>
    <row r="302" spans="25:26">
      <c r="Y302" s="1354"/>
      <c r="Z302" s="1060"/>
    </row>
    <row r="303" spans="25:26">
      <c r="Y303" s="1354"/>
      <c r="Z303" s="1060"/>
    </row>
    <row r="304" spans="25:26">
      <c r="Y304" s="1354"/>
      <c r="Z304" s="1060"/>
    </row>
    <row r="305" spans="25:26">
      <c r="Y305" s="1354"/>
      <c r="Z305" s="1060"/>
    </row>
    <row r="306" spans="25:26">
      <c r="Y306" s="1354"/>
      <c r="Z306" s="1060"/>
    </row>
    <row r="307" spans="25:26">
      <c r="Y307" s="1354"/>
      <c r="Z307" s="1060"/>
    </row>
    <row r="308" spans="25:26">
      <c r="Y308" s="1354"/>
      <c r="Z308" s="1060"/>
    </row>
    <row r="309" spans="25:26">
      <c r="Y309" s="1354"/>
      <c r="Z309" s="1060"/>
    </row>
    <row r="310" spans="25:26">
      <c r="Y310" s="1354"/>
      <c r="Z310" s="1060"/>
    </row>
    <row r="311" spans="25:26">
      <c r="Y311" s="1354"/>
      <c r="Z311" s="1060"/>
    </row>
    <row r="312" spans="25:26">
      <c r="Y312" s="1354"/>
      <c r="Z312" s="1060"/>
    </row>
    <row r="313" spans="25:26">
      <c r="Y313" s="1354"/>
      <c r="Z313" s="1060"/>
    </row>
    <row r="314" spans="25:26">
      <c r="Y314" s="1354"/>
      <c r="Z314" s="1060"/>
    </row>
    <row r="315" spans="25:26">
      <c r="Y315" s="1354"/>
      <c r="Z315" s="1060"/>
    </row>
    <row r="316" spans="25:26">
      <c r="Y316" s="1354"/>
      <c r="Z316" s="1060"/>
    </row>
    <row r="317" spans="25:26">
      <c r="Y317" s="1354"/>
      <c r="Z317" s="1060"/>
    </row>
    <row r="318" spans="25:26">
      <c r="Y318" s="1354"/>
      <c r="Z318" s="1060"/>
    </row>
    <row r="319" spans="25:26">
      <c r="Y319" s="1354"/>
      <c r="Z319" s="1060"/>
    </row>
    <row r="320" spans="25:26">
      <c r="Y320" s="1354"/>
      <c r="Z320" s="1060"/>
    </row>
    <row r="321" spans="25:26">
      <c r="Y321" s="1354"/>
      <c r="Z321" s="1060"/>
    </row>
    <row r="322" spans="25:26">
      <c r="Y322" s="1354"/>
      <c r="Z322" s="1060"/>
    </row>
    <row r="323" spans="25:26">
      <c r="Y323" s="1354"/>
      <c r="Z323" s="1060"/>
    </row>
    <row r="324" spans="25:26">
      <c r="Y324" s="1354"/>
      <c r="Z324" s="1060"/>
    </row>
    <row r="325" spans="25:26">
      <c r="Y325" s="1354"/>
      <c r="Z325" s="1060"/>
    </row>
    <row r="326" spans="25:26">
      <c r="Y326" s="1354"/>
      <c r="Z326" s="1060"/>
    </row>
    <row r="327" spans="25:26">
      <c r="Y327" s="1354"/>
      <c r="Z327" s="1060"/>
    </row>
    <row r="328" spans="25:26">
      <c r="Y328" s="1354"/>
      <c r="Z328" s="1060"/>
    </row>
    <row r="329" spans="25:26">
      <c r="Y329" s="1354"/>
      <c r="Z329" s="1060"/>
    </row>
    <row r="330" spans="25:26">
      <c r="Y330" s="1354"/>
      <c r="Z330" s="1060"/>
    </row>
    <row r="331" spans="25:26">
      <c r="Y331" s="1354"/>
      <c r="Z331" s="1060"/>
    </row>
    <row r="332" spans="25:26">
      <c r="Y332" s="1354"/>
      <c r="Z332" s="1060"/>
    </row>
    <row r="333" spans="25:26">
      <c r="Y333" s="1354"/>
      <c r="Z333" s="1060"/>
    </row>
    <row r="334" spans="25:26">
      <c r="Y334" s="1354"/>
      <c r="Z334" s="1060"/>
    </row>
    <row r="335" spans="25:26">
      <c r="Y335" s="1354"/>
      <c r="Z335" s="1060"/>
    </row>
    <row r="336" spans="25:26">
      <c r="Y336" s="1354"/>
      <c r="Z336" s="1060"/>
    </row>
    <row r="337" spans="25:26">
      <c r="Y337" s="1354"/>
      <c r="Z337" s="1060"/>
    </row>
    <row r="338" spans="25:26">
      <c r="Y338" s="1354"/>
      <c r="Z338" s="1060"/>
    </row>
    <row r="339" spans="25:26">
      <c r="Y339" s="1354"/>
      <c r="Z339" s="1060"/>
    </row>
    <row r="340" spans="25:26">
      <c r="Y340" s="1354"/>
      <c r="Z340" s="1060"/>
    </row>
    <row r="341" spans="25:26">
      <c r="Y341" s="1354"/>
      <c r="Z341" s="1060"/>
    </row>
    <row r="342" spans="25:26">
      <c r="Y342" s="1354"/>
      <c r="Z342" s="1060"/>
    </row>
    <row r="343" spans="25:26">
      <c r="Y343" s="1354"/>
      <c r="Z343" s="1060"/>
    </row>
    <row r="344" spans="25:26">
      <c r="Y344" s="1354"/>
      <c r="Z344" s="1060"/>
    </row>
    <row r="345" spans="25:26">
      <c r="Y345" s="1354"/>
      <c r="Z345" s="1060"/>
    </row>
    <row r="346" spans="25:26">
      <c r="Y346" s="1354"/>
      <c r="Z346" s="1060"/>
    </row>
    <row r="347" spans="25:26">
      <c r="Y347" s="1354"/>
      <c r="Z347" s="1060"/>
    </row>
    <row r="348" spans="25:26">
      <c r="Y348" s="1354"/>
      <c r="Z348" s="1060"/>
    </row>
    <row r="349" spans="25:26">
      <c r="Y349" s="1354"/>
      <c r="Z349" s="1060"/>
    </row>
    <row r="350" spans="25:26">
      <c r="Y350" s="1354"/>
      <c r="Z350" s="1060"/>
    </row>
    <row r="351" spans="25:26">
      <c r="Y351" s="1354"/>
      <c r="Z351" s="1060"/>
    </row>
    <row r="352" spans="25:26">
      <c r="Y352" s="1354"/>
      <c r="Z352" s="1060"/>
    </row>
    <row r="353" spans="25:26">
      <c r="Y353" s="1354"/>
      <c r="Z353" s="1060"/>
    </row>
    <row r="354" spans="25:26">
      <c r="Y354" s="1354"/>
      <c r="Z354" s="1060"/>
    </row>
    <row r="355" spans="25:26">
      <c r="Y355" s="1354"/>
      <c r="Z355" s="1060"/>
    </row>
    <row r="356" spans="25:26">
      <c r="Y356" s="1354"/>
      <c r="Z356" s="1060"/>
    </row>
    <row r="357" spans="25:26">
      <c r="Y357" s="1354"/>
      <c r="Z357" s="1060"/>
    </row>
    <row r="358" spans="25:26">
      <c r="Y358" s="1354"/>
      <c r="Z358" s="1060"/>
    </row>
    <row r="359" spans="25:26">
      <c r="Y359" s="1354"/>
      <c r="Z359" s="1060"/>
    </row>
    <row r="360" spans="25:26">
      <c r="Y360" s="1354"/>
      <c r="Z360" s="1060"/>
    </row>
    <row r="361" spans="25:26">
      <c r="Y361" s="1354"/>
      <c r="Z361" s="1060"/>
    </row>
    <row r="362" spans="25:26">
      <c r="Y362" s="1354"/>
      <c r="Z362" s="1060"/>
    </row>
    <row r="363" spans="25:26">
      <c r="Y363" s="1354"/>
      <c r="Z363" s="1060"/>
    </row>
    <row r="364" spans="25:26">
      <c r="Y364" s="1354"/>
      <c r="Z364" s="1060"/>
    </row>
    <row r="365" spans="25:26">
      <c r="Y365" s="1354"/>
      <c r="Z365" s="1060"/>
    </row>
    <row r="366" spans="25:26">
      <c r="Y366" s="1354"/>
      <c r="Z366" s="1060"/>
    </row>
    <row r="367" spans="25:26">
      <c r="Y367" s="1354"/>
      <c r="Z367" s="1060"/>
    </row>
    <row r="368" spans="25:26">
      <c r="Y368" s="1354"/>
      <c r="Z368" s="1060"/>
    </row>
    <row r="369" spans="25:26">
      <c r="Y369" s="1354"/>
      <c r="Z369" s="1060"/>
    </row>
    <row r="370" spans="25:26">
      <c r="Y370" s="1354"/>
      <c r="Z370" s="1060"/>
    </row>
    <row r="371" spans="25:26">
      <c r="Y371" s="1354"/>
      <c r="Z371" s="1060"/>
    </row>
    <row r="372" spans="25:26">
      <c r="Y372" s="1354"/>
      <c r="Z372" s="1060"/>
    </row>
    <row r="373" spans="25:26">
      <c r="Y373" s="1354"/>
      <c r="Z373" s="1060"/>
    </row>
    <row r="374" spans="25:26">
      <c r="Y374" s="1354"/>
      <c r="Z374" s="1060"/>
    </row>
    <row r="375" spans="25:26">
      <c r="Y375" s="1354"/>
      <c r="Z375" s="1060"/>
    </row>
    <row r="376" spans="25:26">
      <c r="Y376" s="1354"/>
      <c r="Z376" s="1060"/>
    </row>
    <row r="377" spans="25:26">
      <c r="Y377" s="1354"/>
      <c r="Z377" s="1060"/>
    </row>
    <row r="378" spans="25:26">
      <c r="Y378" s="1354"/>
      <c r="Z378" s="1060"/>
    </row>
    <row r="379" spans="25:26">
      <c r="Y379" s="1354"/>
      <c r="Z379" s="1060"/>
    </row>
    <row r="380" spans="25:26">
      <c r="Y380" s="1354"/>
      <c r="Z380" s="1060"/>
    </row>
    <row r="381" spans="25:26">
      <c r="Y381" s="1354"/>
      <c r="Z381" s="1060"/>
    </row>
    <row r="382" spans="25:26">
      <c r="Y382" s="1354"/>
      <c r="Z382" s="1060"/>
    </row>
    <row r="383" spans="25:26">
      <c r="Y383" s="1354"/>
      <c r="Z383" s="1060"/>
    </row>
    <row r="384" spans="25:26">
      <c r="Y384" s="1354"/>
      <c r="Z384" s="1060"/>
    </row>
    <row r="385" spans="25:26">
      <c r="Y385" s="1354"/>
      <c r="Z385" s="1060"/>
    </row>
    <row r="386" spans="25:26">
      <c r="Y386" s="1354"/>
      <c r="Z386" s="1060"/>
    </row>
    <row r="387" spans="25:26">
      <c r="Y387" s="1354"/>
      <c r="Z387" s="1060"/>
    </row>
    <row r="388" spans="25:26">
      <c r="Y388" s="1354"/>
      <c r="Z388" s="1060"/>
    </row>
    <row r="389" spans="25:26">
      <c r="Y389" s="1354"/>
      <c r="Z389" s="1060"/>
    </row>
    <row r="390" spans="25:26">
      <c r="Y390" s="1354"/>
      <c r="Z390" s="1060"/>
    </row>
    <row r="391" spans="25:26">
      <c r="Y391" s="1354"/>
      <c r="Z391" s="1060"/>
    </row>
    <row r="392" spans="25:26">
      <c r="Y392" s="1354"/>
      <c r="Z392" s="1060"/>
    </row>
    <row r="393" spans="25:26">
      <c r="Y393" s="1354"/>
      <c r="Z393" s="1060"/>
    </row>
    <row r="394" spans="25:26">
      <c r="Y394" s="1354"/>
      <c r="Z394" s="1060"/>
    </row>
    <row r="395" spans="25:26">
      <c r="Y395" s="1354"/>
      <c r="Z395" s="1060"/>
    </row>
    <row r="396" spans="25:26">
      <c r="Y396" s="1354"/>
      <c r="Z396" s="1060"/>
    </row>
    <row r="397" spans="25:26">
      <c r="Y397" s="1354"/>
      <c r="Z397" s="1060"/>
    </row>
    <row r="398" spans="25:26">
      <c r="Y398" s="1354"/>
      <c r="Z398" s="1060"/>
    </row>
    <row r="399" spans="25:26">
      <c r="Y399" s="1354"/>
      <c r="Z399" s="1060"/>
    </row>
    <row r="400" spans="25:26">
      <c r="Y400" s="1354"/>
      <c r="Z400" s="1060"/>
    </row>
    <row r="401" spans="25:26">
      <c r="Y401" s="1354"/>
      <c r="Z401" s="1060"/>
    </row>
    <row r="402" spans="25:26">
      <c r="Y402" s="1354"/>
      <c r="Z402" s="1060"/>
    </row>
    <row r="403" spans="25:26">
      <c r="Y403" s="1354"/>
      <c r="Z403" s="1060"/>
    </row>
    <row r="404" spans="25:26">
      <c r="Y404" s="1354"/>
      <c r="Z404" s="1060"/>
    </row>
    <row r="405" spans="25:26">
      <c r="Y405" s="1354"/>
      <c r="Z405" s="1060"/>
    </row>
    <row r="406" spans="25:26">
      <c r="Y406" s="1354"/>
      <c r="Z406" s="1060"/>
    </row>
    <row r="407" spans="25:26">
      <c r="Y407" s="1354"/>
      <c r="Z407" s="1060"/>
    </row>
    <row r="408" spans="25:26">
      <c r="Y408" s="1354"/>
      <c r="Z408" s="1060"/>
    </row>
    <row r="409" spans="25:26">
      <c r="Y409" s="1354"/>
      <c r="Z409" s="1060"/>
    </row>
    <row r="410" spans="25:26">
      <c r="Y410" s="1354"/>
      <c r="Z410" s="1060"/>
    </row>
    <row r="411" spans="25:26">
      <c r="Y411" s="1354"/>
      <c r="Z411" s="1060"/>
    </row>
    <row r="412" spans="25:26">
      <c r="Y412" s="1354"/>
      <c r="Z412" s="1060"/>
    </row>
    <row r="413" spans="25:26">
      <c r="Y413" s="1354"/>
      <c r="Z413" s="1060"/>
    </row>
    <row r="414" spans="25:26">
      <c r="Y414" s="1354"/>
      <c r="Z414" s="1060"/>
    </row>
    <row r="415" spans="25:26">
      <c r="Y415" s="1354"/>
      <c r="Z415" s="1060"/>
    </row>
    <row r="416" spans="25:26">
      <c r="Y416" s="1354"/>
      <c r="Z416" s="1060"/>
    </row>
    <row r="417" spans="25:26">
      <c r="Y417" s="1354"/>
      <c r="Z417" s="1060"/>
    </row>
    <row r="418" spans="25:26">
      <c r="Y418" s="1354"/>
      <c r="Z418" s="1060"/>
    </row>
    <row r="419" spans="25:26">
      <c r="Y419" s="1354"/>
      <c r="Z419" s="1060"/>
    </row>
    <row r="420" spans="25:26">
      <c r="Y420" s="1354"/>
      <c r="Z420" s="1060"/>
    </row>
    <row r="421" spans="25:26">
      <c r="Y421" s="1354"/>
      <c r="Z421" s="1060"/>
    </row>
    <row r="422" spans="25:26">
      <c r="Y422" s="1354"/>
      <c r="Z422" s="1060"/>
    </row>
    <row r="423" spans="25:26">
      <c r="Y423" s="1354"/>
      <c r="Z423" s="1060"/>
    </row>
    <row r="424" spans="25:26">
      <c r="Y424" s="1354"/>
      <c r="Z424" s="1060"/>
    </row>
    <row r="425" spans="25:26">
      <c r="Y425" s="1354"/>
      <c r="Z425" s="1060"/>
    </row>
    <row r="426" spans="25:26">
      <c r="Y426" s="1354"/>
      <c r="Z426" s="1060"/>
    </row>
    <row r="427" spans="25:26">
      <c r="Y427" s="1354"/>
      <c r="Z427" s="1060"/>
    </row>
    <row r="428" spans="25:26">
      <c r="Y428" s="1354"/>
      <c r="Z428" s="1060"/>
    </row>
    <row r="429" spans="25:26">
      <c r="Y429" s="1354"/>
      <c r="Z429" s="1060"/>
    </row>
    <row r="430" spans="25:26">
      <c r="Y430" s="1354"/>
      <c r="Z430" s="1060"/>
    </row>
    <row r="431" spans="25:26">
      <c r="Y431" s="1354"/>
      <c r="Z431" s="1060"/>
    </row>
    <row r="432" spans="25:26">
      <c r="Y432" s="1354"/>
      <c r="Z432" s="1060"/>
    </row>
    <row r="433" spans="25:26">
      <c r="Y433" s="1354"/>
      <c r="Z433" s="1060"/>
    </row>
    <row r="434" spans="25:26">
      <c r="Y434" s="1354"/>
      <c r="Z434" s="1060"/>
    </row>
    <row r="435" spans="25:26">
      <c r="Y435" s="1354"/>
      <c r="Z435" s="1060"/>
    </row>
    <row r="436" spans="25:26">
      <c r="Y436" s="1354"/>
      <c r="Z436" s="1060"/>
    </row>
    <row r="437" spans="25:26">
      <c r="Y437" s="1354"/>
      <c r="Z437" s="1060"/>
    </row>
    <row r="438" spans="25:26">
      <c r="Y438" s="1354"/>
      <c r="Z438" s="1060"/>
    </row>
    <row r="439" spans="25:26">
      <c r="Y439" s="1354"/>
      <c r="Z439" s="1060"/>
    </row>
    <row r="440" spans="25:26">
      <c r="Y440" s="1354"/>
      <c r="Z440" s="1060"/>
    </row>
    <row r="441" spans="25:26">
      <c r="Y441" s="1354"/>
      <c r="Z441" s="1060"/>
    </row>
    <row r="442" spans="25:26">
      <c r="Y442" s="1354"/>
      <c r="Z442" s="1060"/>
    </row>
    <row r="443" spans="25:26">
      <c r="Y443" s="1354"/>
      <c r="Z443" s="1060"/>
    </row>
    <row r="444" spans="25:26">
      <c r="Y444" s="1354"/>
      <c r="Z444" s="1060"/>
    </row>
    <row r="445" spans="25:26">
      <c r="Y445" s="1354"/>
      <c r="Z445" s="1060"/>
    </row>
    <row r="446" spans="25:26">
      <c r="Y446" s="1354"/>
      <c r="Z446" s="1060"/>
    </row>
    <row r="447" spans="25:26">
      <c r="Y447" s="1354"/>
      <c r="Z447" s="1060"/>
    </row>
    <row r="448" spans="25:26">
      <c r="Y448" s="1354"/>
      <c r="Z448" s="1060"/>
    </row>
    <row r="449" spans="25:26">
      <c r="Y449" s="1354"/>
      <c r="Z449" s="1060"/>
    </row>
    <row r="450" spans="25:26">
      <c r="Y450" s="1354"/>
      <c r="Z450" s="1060"/>
    </row>
    <row r="451" spans="25:26">
      <c r="Y451" s="1354"/>
      <c r="Z451" s="1060"/>
    </row>
    <row r="452" spans="25:26">
      <c r="Y452" s="1354"/>
      <c r="Z452" s="1060"/>
    </row>
    <row r="453" spans="25:26">
      <c r="Y453" s="1354"/>
      <c r="Z453" s="1060"/>
    </row>
    <row r="454" spans="25:26">
      <c r="Y454" s="1354"/>
      <c r="Z454" s="1060"/>
    </row>
    <row r="455" spans="25:26">
      <c r="Y455" s="1354"/>
      <c r="Z455" s="1060"/>
    </row>
    <row r="456" spans="25:26">
      <c r="Y456" s="1354"/>
      <c r="Z456" s="1060"/>
    </row>
    <row r="457" spans="25:26">
      <c r="Y457" s="1354"/>
      <c r="Z457" s="1060"/>
    </row>
    <row r="458" spans="25:26">
      <c r="Y458" s="1354"/>
      <c r="Z458" s="1060"/>
    </row>
    <row r="459" spans="25:26">
      <c r="Y459" s="1354"/>
      <c r="Z459" s="1060"/>
    </row>
    <row r="460" spans="25:26">
      <c r="Y460" s="1354"/>
      <c r="Z460" s="1060"/>
    </row>
    <row r="461" spans="25:26">
      <c r="Y461" s="1354"/>
      <c r="Z461" s="1060"/>
    </row>
    <row r="462" spans="25:26">
      <c r="Y462" s="1354"/>
      <c r="Z462" s="1060"/>
    </row>
    <row r="463" spans="25:26">
      <c r="Y463" s="1354"/>
      <c r="Z463" s="1060"/>
    </row>
    <row r="464" spans="25:26">
      <c r="Y464" s="1354"/>
      <c r="Z464" s="1060"/>
    </row>
    <row r="465" spans="25:26">
      <c r="Y465" s="1354"/>
      <c r="Z465" s="1060"/>
    </row>
    <row r="466" spans="25:26">
      <c r="Y466" s="1354"/>
      <c r="Z466" s="1060"/>
    </row>
    <row r="467" spans="25:26">
      <c r="Y467" s="1354"/>
      <c r="Z467" s="1060"/>
    </row>
    <row r="468" spans="25:26">
      <c r="Y468" s="1354"/>
      <c r="Z468" s="1060"/>
    </row>
    <row r="469" spans="25:26">
      <c r="Y469" s="1354"/>
      <c r="Z469" s="1060"/>
    </row>
    <row r="470" spans="25:26">
      <c r="Y470" s="1354"/>
      <c r="Z470" s="1060"/>
    </row>
    <row r="471" spans="25:26">
      <c r="Y471" s="1354"/>
      <c r="Z471" s="1060"/>
    </row>
    <row r="472" spans="25:26">
      <c r="Y472" s="1354"/>
      <c r="Z472" s="1060"/>
    </row>
    <row r="473" spans="25:26">
      <c r="Y473" s="1354"/>
      <c r="Z473" s="1060"/>
    </row>
    <row r="474" spans="25:26">
      <c r="Y474" s="1354"/>
      <c r="Z474" s="1060"/>
    </row>
    <row r="475" spans="25:26">
      <c r="Y475" s="1354"/>
      <c r="Z475" s="1060"/>
    </row>
    <row r="476" spans="25:26">
      <c r="Y476" s="1354"/>
      <c r="Z476" s="1060"/>
    </row>
    <row r="477" spans="25:26">
      <c r="Y477" s="1354"/>
      <c r="Z477" s="1060"/>
    </row>
    <row r="478" spans="25:26">
      <c r="Y478" s="1354"/>
      <c r="Z478" s="1060"/>
    </row>
    <row r="479" spans="25:26">
      <c r="Y479" s="1354"/>
      <c r="Z479" s="1060"/>
    </row>
    <row r="480" spans="25:26">
      <c r="Y480" s="1354"/>
      <c r="Z480" s="1060"/>
    </row>
    <row r="481" spans="25:26">
      <c r="Y481" s="1354"/>
      <c r="Z481" s="1060"/>
    </row>
    <row r="482" spans="25:26">
      <c r="Y482" s="1354"/>
      <c r="Z482" s="1060"/>
    </row>
    <row r="483" spans="25:26">
      <c r="Y483" s="1354"/>
      <c r="Z483" s="1060"/>
    </row>
    <row r="484" spans="25:26">
      <c r="Y484" s="1354"/>
      <c r="Z484" s="1060"/>
    </row>
    <row r="485" spans="25:26">
      <c r="Y485" s="1354"/>
      <c r="Z485" s="1060"/>
    </row>
    <row r="486" spans="25:26">
      <c r="Y486" s="1354"/>
      <c r="Z486" s="1060"/>
    </row>
    <row r="487" spans="25:26">
      <c r="Y487" s="1354"/>
      <c r="Z487" s="1060"/>
    </row>
    <row r="488" spans="25:26">
      <c r="Y488" s="1354"/>
      <c r="Z488" s="1060"/>
    </row>
    <row r="489" spans="25:26">
      <c r="Y489" s="1354"/>
      <c r="Z489" s="1060"/>
    </row>
    <row r="490" spans="25:26">
      <c r="Y490" s="1354"/>
      <c r="Z490" s="1060"/>
    </row>
    <row r="491" spans="25:26">
      <c r="Y491" s="1354"/>
      <c r="Z491" s="1060"/>
    </row>
    <row r="492" spans="25:26">
      <c r="Y492" s="1354"/>
      <c r="Z492" s="1060"/>
    </row>
    <row r="493" spans="25:26">
      <c r="Y493" s="1354"/>
      <c r="Z493" s="1060"/>
    </row>
    <row r="494" spans="25:26">
      <c r="Y494" s="1354"/>
      <c r="Z494" s="1060"/>
    </row>
    <row r="495" spans="25:26">
      <c r="Y495" s="1354"/>
      <c r="Z495" s="1060"/>
    </row>
    <row r="496" spans="25:26">
      <c r="Y496" s="1354"/>
      <c r="Z496" s="1060"/>
    </row>
    <row r="497" spans="25:26">
      <c r="Y497" s="1354"/>
      <c r="Z497" s="1060"/>
    </row>
    <row r="498" spans="25:26">
      <c r="Y498" s="1354"/>
      <c r="Z498" s="1060"/>
    </row>
    <row r="499" spans="25:26">
      <c r="Y499" s="1354"/>
      <c r="Z499" s="1060"/>
    </row>
    <row r="500" spans="25:26">
      <c r="Y500" s="1354"/>
      <c r="Z500" s="1060"/>
    </row>
    <row r="501" spans="25:26">
      <c r="Y501" s="1354"/>
      <c r="Z501" s="1060"/>
    </row>
    <row r="502" spans="25:26">
      <c r="Y502" s="1354"/>
      <c r="Z502" s="1060"/>
    </row>
    <row r="503" spans="25:26">
      <c r="Y503" s="1354"/>
      <c r="Z503" s="1060"/>
    </row>
    <row r="504" spans="25:26">
      <c r="Y504" s="1354"/>
      <c r="Z504" s="1060"/>
    </row>
    <row r="505" spans="25:26">
      <c r="Y505" s="1354"/>
      <c r="Z505" s="1060"/>
    </row>
    <row r="506" spans="25:26">
      <c r="Y506" s="1354"/>
      <c r="Z506" s="1060"/>
    </row>
    <row r="507" spans="25:26">
      <c r="Y507" s="1354"/>
      <c r="Z507" s="1060"/>
    </row>
    <row r="508" spans="25:26">
      <c r="Y508" s="1354"/>
      <c r="Z508" s="1060"/>
    </row>
    <row r="509" spans="25:26">
      <c r="Y509" s="1354"/>
      <c r="Z509" s="1060"/>
    </row>
    <row r="510" spans="25:26">
      <c r="Y510" s="1354"/>
      <c r="Z510" s="1060"/>
    </row>
    <row r="511" spans="25:26">
      <c r="Y511" s="1354"/>
      <c r="Z511" s="1060"/>
    </row>
    <row r="512" spans="25:26">
      <c r="Y512" s="1354"/>
      <c r="Z512" s="1060"/>
    </row>
    <row r="513" spans="25:26">
      <c r="Y513" s="1354"/>
      <c r="Z513" s="1060"/>
    </row>
    <row r="514" spans="25:26">
      <c r="Y514" s="1354"/>
      <c r="Z514" s="1060"/>
    </row>
    <row r="515" spans="25:26">
      <c r="Y515" s="1354"/>
      <c r="Z515" s="1060"/>
    </row>
    <row r="516" spans="25:26">
      <c r="Y516" s="1354"/>
      <c r="Z516" s="1060"/>
    </row>
    <row r="517" spans="25:26">
      <c r="Y517" s="1354"/>
      <c r="Z517" s="1060"/>
    </row>
    <row r="518" spans="25:26">
      <c r="Y518" s="1354"/>
      <c r="Z518" s="1060"/>
    </row>
    <row r="519" spans="25:26">
      <c r="Y519" s="1354"/>
      <c r="Z519" s="1060"/>
    </row>
    <row r="520" spans="25:26">
      <c r="Y520" s="1354"/>
      <c r="Z520" s="1060"/>
    </row>
    <row r="521" spans="25:26">
      <c r="Y521" s="1354"/>
      <c r="Z521" s="1060"/>
    </row>
    <row r="522" spans="25:26">
      <c r="Y522" s="1354"/>
      <c r="Z522" s="1060"/>
    </row>
    <row r="523" spans="25:26">
      <c r="Y523" s="1354"/>
      <c r="Z523" s="1060"/>
    </row>
    <row r="524" spans="25:26">
      <c r="Y524" s="1354"/>
      <c r="Z524" s="1060"/>
    </row>
    <row r="525" spans="25:26">
      <c r="Y525" s="1354"/>
      <c r="Z525" s="1060"/>
    </row>
    <row r="526" spans="25:26">
      <c r="Y526" s="1354"/>
      <c r="Z526" s="1060"/>
    </row>
    <row r="527" spans="25:26">
      <c r="Y527" s="1354"/>
      <c r="Z527" s="1060"/>
    </row>
    <row r="528" spans="25:26">
      <c r="Y528" s="1354"/>
      <c r="Z528" s="1060"/>
    </row>
    <row r="529" spans="25:26">
      <c r="Y529" s="1354"/>
      <c r="Z529" s="1060"/>
    </row>
    <row r="530" spans="25:26">
      <c r="Y530" s="1354"/>
      <c r="Z530" s="1060"/>
    </row>
    <row r="531" spans="25:26">
      <c r="Y531" s="1354"/>
      <c r="Z531" s="1060"/>
    </row>
    <row r="532" spans="25:26">
      <c r="Y532" s="1354"/>
      <c r="Z532" s="1060"/>
    </row>
    <row r="533" spans="25:26">
      <c r="Y533" s="1354"/>
      <c r="Z533" s="1060"/>
    </row>
    <row r="534" spans="25:26">
      <c r="Y534" s="1354"/>
      <c r="Z534" s="1060"/>
    </row>
    <row r="535" spans="25:26">
      <c r="Y535" s="1354"/>
      <c r="Z535" s="1060"/>
    </row>
    <row r="536" spans="25:26">
      <c r="Y536" s="1354"/>
      <c r="Z536" s="1060"/>
    </row>
    <row r="537" spans="25:26">
      <c r="Y537" s="1354"/>
      <c r="Z537" s="1060"/>
    </row>
    <row r="538" spans="25:26">
      <c r="Y538" s="1354"/>
      <c r="Z538" s="1060"/>
    </row>
    <row r="539" spans="25:26">
      <c r="Y539" s="1354"/>
      <c r="Z539" s="1060"/>
    </row>
    <row r="540" spans="25:26">
      <c r="Y540" s="1354"/>
      <c r="Z540" s="1060"/>
    </row>
    <row r="541" spans="25:26">
      <c r="Y541" s="1354"/>
      <c r="Z541" s="1060"/>
    </row>
    <row r="542" spans="25:26">
      <c r="Y542" s="1354"/>
      <c r="Z542" s="1060"/>
    </row>
    <row r="543" spans="25:26">
      <c r="Y543" s="1354"/>
      <c r="Z543" s="1060"/>
    </row>
    <row r="544" spans="25:26">
      <c r="Y544" s="1354"/>
      <c r="Z544" s="1060"/>
    </row>
    <row r="545" spans="25:26">
      <c r="Y545" s="1354"/>
      <c r="Z545" s="1060"/>
    </row>
    <row r="546" spans="25:26">
      <c r="Y546" s="1354"/>
      <c r="Z546" s="1060"/>
    </row>
    <row r="547" spans="25:26">
      <c r="Y547" s="1354"/>
      <c r="Z547" s="1060"/>
    </row>
    <row r="548" spans="25:26">
      <c r="Y548" s="1354"/>
      <c r="Z548" s="1060"/>
    </row>
    <row r="549" spans="25:26">
      <c r="Y549" s="1354"/>
      <c r="Z549" s="1060"/>
    </row>
    <row r="550" spans="25:26">
      <c r="Y550" s="1354"/>
      <c r="Z550" s="1060"/>
    </row>
    <row r="551" spans="25:26">
      <c r="Y551" s="1354"/>
      <c r="Z551" s="1060"/>
    </row>
    <row r="552" spans="25:26">
      <c r="Y552" s="1354"/>
      <c r="Z552" s="1060"/>
    </row>
    <row r="553" spans="25:26">
      <c r="Y553" s="1354"/>
      <c r="Z553" s="1060"/>
    </row>
    <row r="554" spans="25:26">
      <c r="Y554" s="1354"/>
      <c r="Z554" s="1060"/>
    </row>
    <row r="555" spans="25:26">
      <c r="Y555" s="1354"/>
      <c r="Z555" s="1060"/>
    </row>
    <row r="556" spans="25:26">
      <c r="Y556" s="1354"/>
      <c r="Z556" s="1060"/>
    </row>
    <row r="557" spans="25:26">
      <c r="Y557" s="1354"/>
      <c r="Z557" s="1060"/>
    </row>
    <row r="558" spans="25:26">
      <c r="Y558" s="1354"/>
      <c r="Z558" s="1060"/>
    </row>
    <row r="559" spans="25:26">
      <c r="Y559" s="1354"/>
      <c r="Z559" s="1060"/>
    </row>
    <row r="560" spans="25:26">
      <c r="Y560" s="1354"/>
      <c r="Z560" s="1060"/>
    </row>
    <row r="561" spans="25:26">
      <c r="Y561" s="1354"/>
      <c r="Z561" s="1060"/>
    </row>
    <row r="562" spans="25:26">
      <c r="Y562" s="1354"/>
      <c r="Z562" s="1060"/>
    </row>
    <row r="563" spans="25:26">
      <c r="Y563" s="1354"/>
      <c r="Z563" s="1060"/>
    </row>
    <row r="564" spans="25:26">
      <c r="Y564" s="1354"/>
      <c r="Z564" s="1060"/>
    </row>
    <row r="565" spans="25:26">
      <c r="Y565" s="1354"/>
      <c r="Z565" s="1060"/>
    </row>
    <row r="566" spans="25:26">
      <c r="Y566" s="1354"/>
      <c r="Z566" s="1060"/>
    </row>
    <row r="567" spans="25:26">
      <c r="Y567" s="1354"/>
      <c r="Z567" s="1060"/>
    </row>
    <row r="568" spans="25:26">
      <c r="Y568" s="1354"/>
      <c r="Z568" s="1060"/>
    </row>
    <row r="569" spans="25:26">
      <c r="Y569" s="1354"/>
      <c r="Z569" s="1060"/>
    </row>
    <row r="570" spans="25:26">
      <c r="Y570" s="1354"/>
      <c r="Z570" s="1060"/>
    </row>
    <row r="571" spans="25:26">
      <c r="Y571" s="1354"/>
      <c r="Z571" s="1060"/>
    </row>
    <row r="572" spans="25:26">
      <c r="Y572" s="1354"/>
      <c r="Z572" s="1060"/>
    </row>
    <row r="573" spans="25:26">
      <c r="Y573" s="1354"/>
      <c r="Z573" s="1060"/>
    </row>
    <row r="574" spans="25:26">
      <c r="Y574" s="1354"/>
      <c r="Z574" s="1060"/>
    </row>
    <row r="575" spans="25:26">
      <c r="Y575" s="1354"/>
      <c r="Z575" s="1060"/>
    </row>
    <row r="576" spans="25:26">
      <c r="Y576" s="1354"/>
      <c r="Z576" s="1060"/>
    </row>
    <row r="577" spans="25:26">
      <c r="Y577" s="1354"/>
      <c r="Z577" s="1060"/>
    </row>
    <row r="578" spans="25:26">
      <c r="Y578" s="1354"/>
      <c r="Z578" s="1060"/>
    </row>
    <row r="579" spans="25:26">
      <c r="Y579" s="1354"/>
      <c r="Z579" s="1060"/>
    </row>
    <row r="580" spans="25:26">
      <c r="Y580" s="1354"/>
      <c r="Z580" s="1060"/>
    </row>
    <row r="581" spans="25:26">
      <c r="Y581" s="1354"/>
      <c r="Z581" s="1060"/>
    </row>
    <row r="582" spans="25:26">
      <c r="Y582" s="1354"/>
      <c r="Z582" s="1060"/>
    </row>
    <row r="583" spans="25:26">
      <c r="Y583" s="1354"/>
      <c r="Z583" s="1060"/>
    </row>
    <row r="584" spans="25:26">
      <c r="Y584" s="1354"/>
      <c r="Z584" s="1060"/>
    </row>
    <row r="585" spans="25:26">
      <c r="Y585" s="1354"/>
      <c r="Z585" s="1060"/>
    </row>
    <row r="586" spans="25:26">
      <c r="Y586" s="1354"/>
      <c r="Z586" s="1060"/>
    </row>
    <row r="587" spans="25:26">
      <c r="Y587" s="1354"/>
      <c r="Z587" s="1060"/>
    </row>
    <row r="588" spans="25:26">
      <c r="Y588" s="1354"/>
      <c r="Z588" s="1060"/>
    </row>
    <row r="589" spans="25:26">
      <c r="Y589" s="1354"/>
      <c r="Z589" s="1060"/>
    </row>
    <row r="590" spans="25:26">
      <c r="Y590" s="1354"/>
      <c r="Z590" s="1060"/>
    </row>
    <row r="591" spans="25:26">
      <c r="Y591" s="1354"/>
      <c r="Z591" s="1060"/>
    </row>
    <row r="592" spans="25:26">
      <c r="Y592" s="1354"/>
      <c r="Z592" s="1060"/>
    </row>
    <row r="593" spans="25:26">
      <c r="Y593" s="1354"/>
      <c r="Z593" s="1060"/>
    </row>
    <row r="594" spans="25:26">
      <c r="Y594" s="1354"/>
      <c r="Z594" s="1060"/>
    </row>
    <row r="595" spans="25:26">
      <c r="Y595" s="1354"/>
      <c r="Z595" s="1060"/>
    </row>
    <row r="596" spans="25:26">
      <c r="Y596" s="1354"/>
      <c r="Z596" s="1060"/>
    </row>
    <row r="597" spans="25:26">
      <c r="Y597" s="1354"/>
      <c r="Z597" s="1060"/>
    </row>
    <row r="598" spans="25:26">
      <c r="Y598" s="1354"/>
      <c r="Z598" s="1060"/>
    </row>
    <row r="599" spans="25:26">
      <c r="Y599" s="1354"/>
      <c r="Z599" s="1060"/>
    </row>
    <row r="600" spans="25:26">
      <c r="Y600" s="1354"/>
      <c r="Z600" s="1060"/>
    </row>
    <row r="601" spans="25:26">
      <c r="Y601" s="1354"/>
      <c r="Z601" s="1060"/>
    </row>
    <row r="602" spans="25:26">
      <c r="Y602" s="1354"/>
      <c r="Z602" s="1060"/>
    </row>
    <row r="603" spans="25:26">
      <c r="Y603" s="1354"/>
      <c r="Z603" s="1060"/>
    </row>
    <row r="604" spans="25:26">
      <c r="Y604" s="1354"/>
      <c r="Z604" s="1060"/>
    </row>
    <row r="605" spans="25:26">
      <c r="Y605" s="1354"/>
      <c r="Z605" s="1060"/>
    </row>
    <row r="606" spans="25:26">
      <c r="Y606" s="1354"/>
      <c r="Z606" s="1060"/>
    </row>
    <row r="607" spans="25:26">
      <c r="Y607" s="1354"/>
      <c r="Z607" s="1060"/>
    </row>
    <row r="608" spans="25:26">
      <c r="Y608" s="1354"/>
      <c r="Z608" s="1060"/>
    </row>
    <row r="609" spans="25:26">
      <c r="Y609" s="1354"/>
      <c r="Z609" s="1060"/>
    </row>
    <row r="610" spans="25:26">
      <c r="Y610" s="1354"/>
      <c r="Z610" s="1060"/>
    </row>
    <row r="611" spans="25:26">
      <c r="Y611" s="1354"/>
      <c r="Z611" s="1060"/>
    </row>
    <row r="612" spans="25:26">
      <c r="Y612" s="1354"/>
      <c r="Z612" s="1060"/>
    </row>
    <row r="613" spans="25:26">
      <c r="Y613" s="1354"/>
      <c r="Z613" s="1060"/>
    </row>
    <row r="614" spans="25:26">
      <c r="Y614" s="1354"/>
      <c r="Z614" s="1060"/>
    </row>
    <row r="615" spans="25:26">
      <c r="Y615" s="1354"/>
      <c r="Z615" s="1060"/>
    </row>
    <row r="616" spans="25:26">
      <c r="Y616" s="1354"/>
      <c r="Z616" s="1060"/>
    </row>
    <row r="617" spans="25:26">
      <c r="Y617" s="1354"/>
      <c r="Z617" s="1060"/>
    </row>
    <row r="618" spans="25:26">
      <c r="Y618" s="1354"/>
      <c r="Z618" s="1060"/>
    </row>
    <row r="619" spans="25:26">
      <c r="Y619" s="1354"/>
      <c r="Z619" s="1060"/>
    </row>
    <row r="620" spans="25:26">
      <c r="Y620" s="1354"/>
      <c r="Z620" s="1060"/>
    </row>
    <row r="621" spans="25:26">
      <c r="Y621" s="1354"/>
      <c r="Z621" s="1060"/>
    </row>
    <row r="622" spans="25:26">
      <c r="Y622" s="1354"/>
      <c r="Z622" s="1060"/>
    </row>
    <row r="623" spans="25:26">
      <c r="Y623" s="1354"/>
      <c r="Z623" s="1060"/>
    </row>
    <row r="624" spans="25:26">
      <c r="Y624" s="1354"/>
      <c r="Z624" s="1060"/>
    </row>
    <row r="625" spans="25:26">
      <c r="Y625" s="1354"/>
      <c r="Z625" s="1060"/>
    </row>
    <row r="626" spans="25:26">
      <c r="Y626" s="1354"/>
      <c r="Z626" s="1060"/>
    </row>
    <row r="627" spans="25:26">
      <c r="Y627" s="1354"/>
      <c r="Z627" s="1060"/>
    </row>
    <row r="628" spans="25:26">
      <c r="Y628" s="1354"/>
      <c r="Z628" s="1060"/>
    </row>
    <row r="629" spans="25:26">
      <c r="Y629" s="1354"/>
      <c r="Z629" s="1060"/>
    </row>
    <row r="630" spans="25:26">
      <c r="Y630" s="1354"/>
      <c r="Z630" s="1060"/>
    </row>
    <row r="631" spans="25:26">
      <c r="Y631" s="1354"/>
      <c r="Z631" s="1060"/>
    </row>
    <row r="632" spans="25:26">
      <c r="Y632" s="1354"/>
      <c r="Z632" s="1060"/>
    </row>
    <row r="633" spans="25:26">
      <c r="Y633" s="1354"/>
      <c r="Z633" s="1060"/>
    </row>
    <row r="634" spans="25:26">
      <c r="Y634" s="1354"/>
      <c r="Z634" s="1060"/>
    </row>
    <row r="635" spans="25:26">
      <c r="Y635" s="1354"/>
      <c r="Z635" s="1060"/>
    </row>
    <row r="636" spans="25:26">
      <c r="Y636" s="1354"/>
      <c r="Z636" s="1060"/>
    </row>
    <row r="637" spans="25:26">
      <c r="Y637" s="1354"/>
      <c r="Z637" s="1060"/>
    </row>
    <row r="638" spans="25:26">
      <c r="Y638" s="1354"/>
      <c r="Z638" s="1060"/>
    </row>
    <row r="639" spans="25:26">
      <c r="Y639" s="1354"/>
      <c r="Z639" s="1060"/>
    </row>
    <row r="640" spans="25:26">
      <c r="Y640" s="1354"/>
      <c r="Z640" s="1060"/>
    </row>
    <row r="641" spans="25:26">
      <c r="Y641" s="1354"/>
      <c r="Z641" s="1060"/>
    </row>
    <row r="642" spans="25:26">
      <c r="Y642" s="1354"/>
      <c r="Z642" s="1060"/>
    </row>
    <row r="643" spans="25:26">
      <c r="Y643" s="1354"/>
      <c r="Z643" s="1060"/>
    </row>
    <row r="644" spans="25:26">
      <c r="Y644" s="1354"/>
      <c r="Z644" s="1060"/>
    </row>
    <row r="645" spans="25:26">
      <c r="Y645" s="1354"/>
      <c r="Z645" s="1060"/>
    </row>
    <row r="646" spans="25:26">
      <c r="Y646" s="1354"/>
      <c r="Z646" s="1060"/>
    </row>
    <row r="647" spans="25:26">
      <c r="Y647" s="1354"/>
      <c r="Z647" s="1060"/>
    </row>
    <row r="648" spans="25:26">
      <c r="Y648" s="1354"/>
      <c r="Z648" s="1060"/>
    </row>
    <row r="649" spans="25:26">
      <c r="Y649" s="1354"/>
      <c r="Z649" s="1060"/>
    </row>
    <row r="650" spans="25:26">
      <c r="Y650" s="1354"/>
      <c r="Z650" s="1060"/>
    </row>
    <row r="651" spans="25:26">
      <c r="Y651" s="1354"/>
      <c r="Z651" s="1060"/>
    </row>
    <row r="652" spans="25:26">
      <c r="Y652" s="1354"/>
      <c r="Z652" s="1060"/>
    </row>
    <row r="653" spans="25:26">
      <c r="Y653" s="1354"/>
      <c r="Z653" s="1060"/>
    </row>
    <row r="654" spans="25:26">
      <c r="Y654" s="1354"/>
      <c r="Z654" s="1060"/>
    </row>
    <row r="655" spans="25:26">
      <c r="Y655" s="1354"/>
      <c r="Z655" s="1060"/>
    </row>
    <row r="656" spans="25:26">
      <c r="Y656" s="1354"/>
      <c r="Z656" s="1060"/>
    </row>
    <row r="657" spans="25:26">
      <c r="Y657" s="1354"/>
      <c r="Z657" s="1060"/>
    </row>
    <row r="658" spans="25:26">
      <c r="Y658" s="1354"/>
      <c r="Z658" s="1060"/>
    </row>
    <row r="659" spans="25:26">
      <c r="Y659" s="1354"/>
      <c r="Z659" s="1060"/>
    </row>
    <row r="660" spans="25:26">
      <c r="Y660" s="1354"/>
      <c r="Z660" s="1060"/>
    </row>
    <row r="661" spans="25:26">
      <c r="Y661" s="1354"/>
      <c r="Z661" s="1060"/>
    </row>
    <row r="662" spans="25:26">
      <c r="Y662" s="1354"/>
      <c r="Z662" s="1060"/>
    </row>
    <row r="663" spans="25:26">
      <c r="Y663" s="1354"/>
      <c r="Z663" s="1060"/>
    </row>
    <row r="664" spans="25:26">
      <c r="Y664" s="1354"/>
      <c r="Z664" s="1060"/>
    </row>
    <row r="665" spans="25:26">
      <c r="Y665" s="1354"/>
      <c r="Z665" s="1060"/>
    </row>
    <row r="666" spans="25:26">
      <c r="Y666" s="1354"/>
      <c r="Z666" s="1060"/>
    </row>
    <row r="667" spans="25:26">
      <c r="Y667" s="1354"/>
      <c r="Z667" s="1060"/>
    </row>
    <row r="668" spans="25:26">
      <c r="Y668" s="1354"/>
      <c r="Z668" s="1060"/>
    </row>
    <row r="669" spans="25:26">
      <c r="Y669" s="1354"/>
      <c r="Z669" s="1060"/>
    </row>
    <row r="670" spans="25:26">
      <c r="Y670" s="1354"/>
      <c r="Z670" s="1060"/>
    </row>
    <row r="671" spans="25:26">
      <c r="Y671" s="1354"/>
      <c r="Z671" s="1060"/>
    </row>
    <row r="672" spans="25:26">
      <c r="Y672" s="1354"/>
      <c r="Z672" s="1060"/>
    </row>
    <row r="673" spans="25:26">
      <c r="Y673" s="1354"/>
      <c r="Z673" s="1060"/>
    </row>
    <row r="674" spans="25:26">
      <c r="Y674" s="1354"/>
      <c r="Z674" s="1060"/>
    </row>
    <row r="675" spans="25:26">
      <c r="Y675" s="1354"/>
      <c r="Z675" s="1060"/>
    </row>
    <row r="676" spans="25:26">
      <c r="Y676" s="1354"/>
      <c r="Z676" s="1060"/>
    </row>
    <row r="677" spans="25:26">
      <c r="Y677" s="1354"/>
      <c r="Z677" s="1060"/>
    </row>
    <row r="678" spans="25:26">
      <c r="Y678" s="1354"/>
      <c r="Z678" s="1060"/>
    </row>
    <row r="679" spans="25:26">
      <c r="Y679" s="1354"/>
      <c r="Z679" s="1060"/>
    </row>
    <row r="680" spans="25:26">
      <c r="Y680" s="1354"/>
      <c r="Z680" s="1060"/>
    </row>
    <row r="681" spans="25:26">
      <c r="Y681" s="1354"/>
      <c r="Z681" s="1060"/>
    </row>
    <row r="682" spans="25:26">
      <c r="Y682" s="1354"/>
      <c r="Z682" s="1060"/>
    </row>
    <row r="683" spans="25:26">
      <c r="Y683" s="1354"/>
      <c r="Z683" s="1060"/>
    </row>
    <row r="684" spans="25:26">
      <c r="Y684" s="1354"/>
      <c r="Z684" s="1060"/>
    </row>
    <row r="685" spans="25:26">
      <c r="Y685" s="1354"/>
      <c r="Z685" s="1060"/>
    </row>
    <row r="686" spans="25:26">
      <c r="Y686" s="1354"/>
      <c r="Z686" s="1060"/>
    </row>
    <row r="687" spans="25:26">
      <c r="Y687" s="1354"/>
      <c r="Z687" s="1060"/>
    </row>
    <row r="688" spans="25:26">
      <c r="Y688" s="1354"/>
      <c r="Z688" s="1060"/>
    </row>
    <row r="689" spans="25:26">
      <c r="Y689" s="1354"/>
      <c r="Z689" s="1060"/>
    </row>
    <row r="690" spans="25:26">
      <c r="Y690" s="1354"/>
      <c r="Z690" s="1060"/>
    </row>
    <row r="691" spans="25:26">
      <c r="Y691" s="1354"/>
      <c r="Z691" s="1060"/>
    </row>
    <row r="692" spans="25:26">
      <c r="Y692" s="1354"/>
      <c r="Z692" s="1060"/>
    </row>
    <row r="693" spans="25:26">
      <c r="Y693" s="1354"/>
      <c r="Z693" s="1060"/>
    </row>
    <row r="694" spans="25:26">
      <c r="Y694" s="1354"/>
      <c r="Z694" s="1060"/>
    </row>
    <row r="695" spans="25:26">
      <c r="Y695" s="1354"/>
      <c r="Z695" s="1060"/>
    </row>
    <row r="696" spans="25:26">
      <c r="Y696" s="1354"/>
      <c r="Z696" s="1060"/>
    </row>
    <row r="697" spans="25:26">
      <c r="Y697" s="1354"/>
      <c r="Z697" s="1060"/>
    </row>
    <row r="698" spans="25:26">
      <c r="Y698" s="1354"/>
      <c r="Z698" s="1060"/>
    </row>
    <row r="699" spans="25:26">
      <c r="Y699" s="1354"/>
      <c r="Z699" s="1060"/>
    </row>
    <row r="700" spans="25:26">
      <c r="Y700" s="1354"/>
      <c r="Z700" s="1060"/>
    </row>
    <row r="701" spans="25:26">
      <c r="Y701" s="1354"/>
      <c r="Z701" s="1060"/>
    </row>
    <row r="702" spans="25:26">
      <c r="Y702" s="1354"/>
      <c r="Z702" s="1060"/>
    </row>
    <row r="703" spans="25:26">
      <c r="Y703" s="1354"/>
      <c r="Z703" s="1060"/>
    </row>
    <row r="704" spans="25:26">
      <c r="Y704" s="1354"/>
      <c r="Z704" s="1060"/>
    </row>
    <row r="705" spans="25:26">
      <c r="Y705" s="1354"/>
      <c r="Z705" s="1060"/>
    </row>
    <row r="706" spans="25:26">
      <c r="Y706" s="1354"/>
      <c r="Z706" s="1060"/>
    </row>
    <row r="707" spans="25:26">
      <c r="Y707" s="1354"/>
      <c r="Z707" s="1060"/>
    </row>
    <row r="708" spans="25:26">
      <c r="Y708" s="1354"/>
      <c r="Z708" s="1060"/>
    </row>
    <row r="709" spans="25:26">
      <c r="Y709" s="1354"/>
      <c r="Z709" s="1060"/>
    </row>
    <row r="710" spans="25:26">
      <c r="Y710" s="1354"/>
      <c r="Z710" s="1060"/>
    </row>
    <row r="711" spans="25:26">
      <c r="Y711" s="1354"/>
      <c r="Z711" s="1060"/>
    </row>
    <row r="712" spans="25:26">
      <c r="Y712" s="1354"/>
      <c r="Z712" s="1060"/>
    </row>
    <row r="713" spans="25:26">
      <c r="Y713" s="1354"/>
      <c r="Z713" s="1060"/>
    </row>
    <row r="714" spans="25:26">
      <c r="Y714" s="1354"/>
      <c r="Z714" s="1060"/>
    </row>
    <row r="715" spans="25:26">
      <c r="Y715" s="1354"/>
      <c r="Z715" s="1060"/>
    </row>
    <row r="716" spans="25:26">
      <c r="Y716" s="1354"/>
      <c r="Z716" s="1060"/>
    </row>
    <row r="717" spans="25:26">
      <c r="Y717" s="1354"/>
      <c r="Z717" s="1060"/>
    </row>
    <row r="718" spans="25:26">
      <c r="Y718" s="1354"/>
      <c r="Z718" s="1060"/>
    </row>
    <row r="719" spans="25:26">
      <c r="Y719" s="1354"/>
      <c r="Z719" s="1060"/>
    </row>
    <row r="720" spans="25:26">
      <c r="Y720" s="1354"/>
      <c r="Z720" s="1060"/>
    </row>
    <row r="721" spans="25:26">
      <c r="Y721" s="1354"/>
      <c r="Z721" s="1060"/>
    </row>
    <row r="722" spans="25:26">
      <c r="Y722" s="1354"/>
      <c r="Z722" s="1060"/>
    </row>
    <row r="723" spans="25:26">
      <c r="Y723" s="1354"/>
      <c r="Z723" s="1060"/>
    </row>
    <row r="724" spans="25:26">
      <c r="Y724" s="1354"/>
      <c r="Z724" s="1060"/>
    </row>
    <row r="725" spans="25:26">
      <c r="Y725" s="1354"/>
      <c r="Z725" s="1060"/>
    </row>
    <row r="726" spans="25:26">
      <c r="Y726" s="1354"/>
      <c r="Z726" s="1060"/>
    </row>
    <row r="727" spans="25:26">
      <c r="Y727" s="1354"/>
      <c r="Z727" s="1060"/>
    </row>
    <row r="728" spans="25:26">
      <c r="Y728" s="1354"/>
      <c r="Z728" s="1060"/>
    </row>
    <row r="729" spans="25:26">
      <c r="Y729" s="1354"/>
      <c r="Z729" s="1060"/>
    </row>
    <row r="730" spans="25:26">
      <c r="Y730" s="1354"/>
      <c r="Z730" s="1060"/>
    </row>
    <row r="731" spans="25:26">
      <c r="Y731" s="1354"/>
      <c r="Z731" s="1060"/>
    </row>
    <row r="732" spans="25:26">
      <c r="Y732" s="1354"/>
      <c r="Z732" s="1060"/>
    </row>
    <row r="733" spans="25:26">
      <c r="Y733" s="1354"/>
      <c r="Z733" s="1060"/>
    </row>
    <row r="734" spans="25:26">
      <c r="Y734" s="1354"/>
      <c r="Z734" s="1060"/>
    </row>
    <row r="735" spans="25:26">
      <c r="Y735" s="1354"/>
      <c r="Z735" s="1060"/>
    </row>
    <row r="736" spans="25:26">
      <c r="Y736" s="1354"/>
      <c r="Z736" s="1060"/>
    </row>
    <row r="737" spans="25:26">
      <c r="Y737" s="1354"/>
      <c r="Z737" s="1060"/>
    </row>
    <row r="738" spans="25:26">
      <c r="Y738" s="1354"/>
      <c r="Z738" s="1060"/>
    </row>
    <row r="739" spans="25:26">
      <c r="Y739" s="1354"/>
      <c r="Z739" s="1060"/>
    </row>
    <row r="740" spans="25:26">
      <c r="Y740" s="1354"/>
      <c r="Z740" s="1060"/>
    </row>
    <row r="741" spans="25:26">
      <c r="Y741" s="1354"/>
      <c r="Z741" s="1060"/>
    </row>
    <row r="742" spans="25:26">
      <c r="Y742" s="1354"/>
      <c r="Z742" s="1060"/>
    </row>
    <row r="743" spans="25:26">
      <c r="Y743" s="1354"/>
      <c r="Z743" s="1060"/>
    </row>
    <row r="744" spans="25:26">
      <c r="Y744" s="1354"/>
      <c r="Z744" s="1060"/>
    </row>
    <row r="745" spans="25:26">
      <c r="Y745" s="1354"/>
      <c r="Z745" s="1060"/>
    </row>
    <row r="746" spans="25:26">
      <c r="Y746" s="1354"/>
      <c r="Z746" s="1060"/>
    </row>
    <row r="747" spans="25:26">
      <c r="Y747" s="1354"/>
      <c r="Z747" s="1060"/>
    </row>
    <row r="748" spans="25:26">
      <c r="Y748" s="1354"/>
      <c r="Z748" s="1060"/>
    </row>
    <row r="749" spans="25:26">
      <c r="Y749" s="1354"/>
      <c r="Z749" s="1060"/>
    </row>
    <row r="750" spans="25:26">
      <c r="Y750" s="1354"/>
      <c r="Z750" s="1060"/>
    </row>
    <row r="751" spans="25:26">
      <c r="Y751" s="1354"/>
      <c r="Z751" s="1060"/>
    </row>
    <row r="752" spans="25:26">
      <c r="Y752" s="1354"/>
      <c r="Z752" s="1060"/>
    </row>
    <row r="753" spans="25:26">
      <c r="Y753" s="1354"/>
      <c r="Z753" s="1060"/>
    </row>
    <row r="754" spans="25:26">
      <c r="Y754" s="1354"/>
      <c r="Z754" s="1060"/>
    </row>
    <row r="755" spans="25:26">
      <c r="Y755" s="1354"/>
      <c r="Z755" s="1060"/>
    </row>
    <row r="756" spans="25:26">
      <c r="Y756" s="1354"/>
      <c r="Z756" s="1060"/>
    </row>
    <row r="757" spans="25:26">
      <c r="Y757" s="1354"/>
      <c r="Z757" s="1060"/>
    </row>
    <row r="758" spans="25:26">
      <c r="Y758" s="1354"/>
      <c r="Z758" s="1060"/>
    </row>
    <row r="759" spans="25:26">
      <c r="Y759" s="1354"/>
      <c r="Z759" s="1060"/>
    </row>
    <row r="760" spans="25:26">
      <c r="Y760" s="1354"/>
      <c r="Z760" s="1060"/>
    </row>
    <row r="761" spans="25:26">
      <c r="Y761" s="1354"/>
      <c r="Z761" s="1060"/>
    </row>
    <row r="762" spans="25:26">
      <c r="Y762" s="1354"/>
      <c r="Z762" s="1060"/>
    </row>
    <row r="763" spans="25:26">
      <c r="Y763" s="1354"/>
      <c r="Z763" s="1060"/>
    </row>
    <row r="764" spans="25:26">
      <c r="Y764" s="1354"/>
      <c r="Z764" s="1060"/>
    </row>
    <row r="765" spans="25:26">
      <c r="Y765" s="1354"/>
      <c r="Z765" s="1060"/>
    </row>
    <row r="766" spans="25:26">
      <c r="Y766" s="1354"/>
      <c r="Z766" s="1060"/>
    </row>
    <row r="767" spans="25:26">
      <c r="Y767" s="1354"/>
      <c r="Z767" s="1060"/>
    </row>
    <row r="768" spans="25:26">
      <c r="Y768" s="1354"/>
      <c r="Z768" s="1060"/>
    </row>
    <row r="769" spans="25:26">
      <c r="Y769" s="1354"/>
      <c r="Z769" s="1060"/>
    </row>
    <row r="770" spans="25:26">
      <c r="Y770" s="1354"/>
      <c r="Z770" s="1060"/>
    </row>
    <row r="771" spans="25:26">
      <c r="Y771" s="1354"/>
      <c r="Z771" s="1060"/>
    </row>
    <row r="772" spans="25:26">
      <c r="Y772" s="1354"/>
      <c r="Z772" s="1060"/>
    </row>
    <row r="773" spans="25:26">
      <c r="Y773" s="1354"/>
      <c r="Z773" s="1060"/>
    </row>
    <row r="774" spans="25:26">
      <c r="Y774" s="1354"/>
      <c r="Z774" s="1060"/>
    </row>
    <row r="775" spans="25:26">
      <c r="Y775" s="1354"/>
      <c r="Z775" s="1060"/>
    </row>
    <row r="776" spans="25:26">
      <c r="Y776" s="1354"/>
      <c r="Z776" s="1060"/>
    </row>
    <row r="777" spans="25:26">
      <c r="Y777" s="1354"/>
      <c r="Z777" s="1060"/>
    </row>
    <row r="778" spans="25:26">
      <c r="Y778" s="1354"/>
      <c r="Z778" s="1060"/>
    </row>
    <row r="779" spans="25:26">
      <c r="Y779" s="1354"/>
      <c r="Z779" s="1060"/>
    </row>
    <row r="780" spans="25:26">
      <c r="Y780" s="1354"/>
      <c r="Z780" s="1060"/>
    </row>
    <row r="781" spans="25:26">
      <c r="Y781" s="1354"/>
      <c r="Z781" s="1060"/>
    </row>
    <row r="782" spans="25:26">
      <c r="Y782" s="1354"/>
      <c r="Z782" s="1060"/>
    </row>
    <row r="783" spans="25:26">
      <c r="Y783" s="1354"/>
      <c r="Z783" s="1060"/>
    </row>
    <row r="784" spans="25:26">
      <c r="Y784" s="1354"/>
      <c r="Z784" s="1060"/>
    </row>
    <row r="785" spans="25:26">
      <c r="Y785" s="1354"/>
      <c r="Z785" s="1060"/>
    </row>
    <row r="786" spans="25:26">
      <c r="Y786" s="1354"/>
      <c r="Z786" s="1060"/>
    </row>
    <row r="787" spans="25:26">
      <c r="Y787" s="1354"/>
      <c r="Z787" s="1060"/>
    </row>
    <row r="788" spans="25:26">
      <c r="Y788" s="1354"/>
      <c r="Z788" s="1060"/>
    </row>
    <row r="789" spans="25:26">
      <c r="Y789" s="1354"/>
      <c r="Z789" s="1060"/>
    </row>
    <row r="790" spans="25:26">
      <c r="Y790" s="1354"/>
      <c r="Z790" s="1060"/>
    </row>
    <row r="791" spans="25:26">
      <c r="Y791" s="1354"/>
      <c r="Z791" s="1060"/>
    </row>
    <row r="792" spans="25:26">
      <c r="Y792" s="1354"/>
      <c r="Z792" s="1060"/>
    </row>
    <row r="793" spans="25:26">
      <c r="Y793" s="1354"/>
      <c r="Z793" s="1060"/>
    </row>
    <row r="794" spans="25:26">
      <c r="Y794" s="1354"/>
      <c r="Z794" s="1060"/>
    </row>
    <row r="795" spans="25:26">
      <c r="Y795" s="1354"/>
      <c r="Z795" s="1060"/>
    </row>
    <row r="796" spans="25:26">
      <c r="Y796" s="1354"/>
      <c r="Z796" s="1060"/>
    </row>
    <row r="797" spans="25:26">
      <c r="Y797" s="1354"/>
      <c r="Z797" s="1060"/>
    </row>
    <row r="798" spans="25:26">
      <c r="Y798" s="1354"/>
      <c r="Z798" s="1060"/>
    </row>
    <row r="799" spans="25:26">
      <c r="Y799" s="1354"/>
      <c r="Z799" s="1060"/>
    </row>
    <row r="800" spans="25:26">
      <c r="Y800" s="1354"/>
      <c r="Z800" s="1060"/>
    </row>
    <row r="801" spans="25:26">
      <c r="Y801" s="1354"/>
      <c r="Z801" s="1060"/>
    </row>
    <row r="802" spans="25:26">
      <c r="Y802" s="1354"/>
      <c r="Z802" s="1060"/>
    </row>
    <row r="803" spans="25:26">
      <c r="Y803" s="1354"/>
      <c r="Z803" s="1060"/>
    </row>
    <row r="804" spans="25:26">
      <c r="Y804" s="1354"/>
      <c r="Z804" s="1060"/>
    </row>
    <row r="805" spans="25:26">
      <c r="Y805" s="1354"/>
      <c r="Z805" s="1060"/>
    </row>
    <row r="806" spans="25:26">
      <c r="Y806" s="1354"/>
      <c r="Z806" s="1060"/>
    </row>
    <row r="807" spans="25:26">
      <c r="Y807" s="1354"/>
      <c r="Z807" s="1060"/>
    </row>
    <row r="808" spans="25:26">
      <c r="Y808" s="1354"/>
      <c r="Z808" s="1060"/>
    </row>
    <row r="809" spans="25:26">
      <c r="Y809" s="1354"/>
      <c r="Z809" s="1060"/>
    </row>
    <row r="810" spans="25:26">
      <c r="Y810" s="1354"/>
      <c r="Z810" s="1060"/>
    </row>
    <row r="811" spans="25:26">
      <c r="Y811" s="1354"/>
      <c r="Z811" s="1060"/>
    </row>
    <row r="812" spans="25:26">
      <c r="Y812" s="1354"/>
      <c r="Z812" s="1060"/>
    </row>
    <row r="813" spans="25:26">
      <c r="Y813" s="1354"/>
      <c r="Z813" s="1060"/>
    </row>
    <row r="814" spans="25:26">
      <c r="Y814" s="1354"/>
      <c r="Z814" s="1060"/>
    </row>
    <row r="815" spans="25:26">
      <c r="Y815" s="1354"/>
      <c r="Z815" s="1060"/>
    </row>
    <row r="816" spans="25:26">
      <c r="Y816" s="1354"/>
      <c r="Z816" s="1060"/>
    </row>
    <row r="817" spans="25:26">
      <c r="Y817" s="1354"/>
      <c r="Z817" s="1060"/>
    </row>
    <row r="818" spans="25:26">
      <c r="Y818" s="1354"/>
      <c r="Z818" s="1060"/>
    </row>
    <row r="819" spans="25:26">
      <c r="Y819" s="1354"/>
      <c r="Z819" s="1060"/>
    </row>
    <row r="820" spans="25:26">
      <c r="Y820" s="1354"/>
      <c r="Z820" s="1060"/>
    </row>
    <row r="821" spans="25:26">
      <c r="Y821" s="1354"/>
      <c r="Z821" s="1060"/>
    </row>
    <row r="822" spans="25:26">
      <c r="Y822" s="1354"/>
      <c r="Z822" s="1060"/>
    </row>
    <row r="823" spans="25:26">
      <c r="Y823" s="1354"/>
      <c r="Z823" s="1060"/>
    </row>
    <row r="824" spans="25:26">
      <c r="Y824" s="1354"/>
      <c r="Z824" s="1060"/>
    </row>
    <row r="825" spans="25:26">
      <c r="Y825" s="1354"/>
      <c r="Z825" s="1060"/>
    </row>
    <row r="826" spans="25:26">
      <c r="Y826" s="1354"/>
      <c r="Z826" s="1060"/>
    </row>
    <row r="827" spans="25:26">
      <c r="Y827" s="1354"/>
      <c r="Z827" s="1060"/>
    </row>
    <row r="828" spans="25:26">
      <c r="Y828" s="1354"/>
      <c r="Z828" s="1060"/>
    </row>
    <row r="829" spans="25:26">
      <c r="Y829" s="1354"/>
      <c r="Z829" s="1060"/>
    </row>
    <row r="830" spans="25:26">
      <c r="Y830" s="1354"/>
      <c r="Z830" s="1060"/>
    </row>
    <row r="831" spans="25:26">
      <c r="Y831" s="1354"/>
      <c r="Z831" s="1060"/>
    </row>
    <row r="832" spans="25:26">
      <c r="Y832" s="1354"/>
      <c r="Z832" s="1060"/>
    </row>
    <row r="833" spans="25:26">
      <c r="Y833" s="1354"/>
      <c r="Z833" s="1060"/>
    </row>
    <row r="834" spans="25:26">
      <c r="Y834" s="1354"/>
      <c r="Z834" s="1060"/>
    </row>
    <row r="835" spans="25:26">
      <c r="Y835" s="1354"/>
      <c r="Z835" s="1060"/>
    </row>
    <row r="836" spans="25:26">
      <c r="Y836" s="1354"/>
      <c r="Z836" s="1060"/>
    </row>
    <row r="837" spans="25:26">
      <c r="Y837" s="1354"/>
      <c r="Z837" s="1060"/>
    </row>
    <row r="838" spans="25:26">
      <c r="Y838" s="1354"/>
      <c r="Z838" s="1060"/>
    </row>
    <row r="839" spans="25:26">
      <c r="Y839" s="1354"/>
      <c r="Z839" s="1060"/>
    </row>
    <row r="840" spans="25:26">
      <c r="Y840" s="1354"/>
      <c r="Z840" s="1060"/>
    </row>
    <row r="841" spans="25:26">
      <c r="Y841" s="1354"/>
      <c r="Z841" s="1060"/>
    </row>
    <row r="842" spans="25:26">
      <c r="Y842" s="1354"/>
      <c r="Z842" s="1060"/>
    </row>
    <row r="843" spans="25:26">
      <c r="Y843" s="1354"/>
      <c r="Z843" s="1060"/>
    </row>
    <row r="844" spans="25:26">
      <c r="Y844" s="1354"/>
      <c r="Z844" s="1060"/>
    </row>
    <row r="845" spans="25:26">
      <c r="Y845" s="1354"/>
      <c r="Z845" s="1060"/>
    </row>
    <row r="846" spans="25:26">
      <c r="Y846" s="1354"/>
      <c r="Z846" s="1060"/>
    </row>
    <row r="847" spans="25:26">
      <c r="Y847" s="1354"/>
      <c r="Z847" s="1060"/>
    </row>
    <row r="848" spans="25:26">
      <c r="Y848" s="1354"/>
      <c r="Z848" s="1060"/>
    </row>
    <row r="849" spans="25:26">
      <c r="Y849" s="1354"/>
      <c r="Z849" s="1060"/>
    </row>
    <row r="850" spans="25:26">
      <c r="Y850" s="1354"/>
      <c r="Z850" s="1060"/>
    </row>
    <row r="851" spans="25:26">
      <c r="Y851" s="1354"/>
      <c r="Z851" s="1060"/>
    </row>
    <row r="852" spans="25:26">
      <c r="Y852" s="1354"/>
      <c r="Z852" s="1060"/>
    </row>
    <row r="853" spans="25:26">
      <c r="Y853" s="1354"/>
      <c r="Z853" s="1060"/>
    </row>
    <row r="854" spans="25:26">
      <c r="Y854" s="1354"/>
      <c r="Z854" s="1060"/>
    </row>
    <row r="855" spans="25:26">
      <c r="Y855" s="1354"/>
      <c r="Z855" s="1060"/>
    </row>
    <row r="856" spans="25:26">
      <c r="Y856" s="1354"/>
      <c r="Z856" s="1060"/>
    </row>
    <row r="857" spans="25:26">
      <c r="Y857" s="1354"/>
      <c r="Z857" s="1060"/>
    </row>
    <row r="858" spans="25:26">
      <c r="Y858" s="1354"/>
      <c r="Z858" s="1060"/>
    </row>
    <row r="859" spans="25:26">
      <c r="Y859" s="1354"/>
      <c r="Z859" s="1060"/>
    </row>
    <row r="860" spans="25:26">
      <c r="Y860" s="1354"/>
      <c r="Z860" s="1060"/>
    </row>
    <row r="861" spans="25:26">
      <c r="Y861" s="1354"/>
      <c r="Z861" s="1060"/>
    </row>
    <row r="862" spans="25:26">
      <c r="Y862" s="1354"/>
      <c r="Z862" s="1060"/>
    </row>
    <row r="863" spans="25:26">
      <c r="Y863" s="1354"/>
      <c r="Z863" s="1060"/>
    </row>
    <row r="864" spans="25:26">
      <c r="Y864" s="1354"/>
      <c r="Z864" s="1060"/>
    </row>
    <row r="865" spans="25:26">
      <c r="Y865" s="1354"/>
      <c r="Z865" s="1060"/>
    </row>
    <row r="866" spans="25:26">
      <c r="Y866" s="1354"/>
      <c r="Z866" s="1060"/>
    </row>
    <row r="867" spans="25:26">
      <c r="Y867" s="1354"/>
      <c r="Z867" s="1060"/>
    </row>
    <row r="868" spans="25:26">
      <c r="Y868" s="1354"/>
      <c r="Z868" s="1060"/>
    </row>
    <row r="869" spans="25:26">
      <c r="Y869" s="1354"/>
      <c r="Z869" s="1060"/>
    </row>
    <row r="870" spans="25:26">
      <c r="Y870" s="1354"/>
      <c r="Z870" s="1060"/>
    </row>
    <row r="871" spans="25:26">
      <c r="Y871" s="1354"/>
      <c r="Z871" s="1060"/>
    </row>
    <row r="872" spans="25:26">
      <c r="Y872" s="1354"/>
      <c r="Z872" s="1060"/>
    </row>
    <row r="873" spans="25:26">
      <c r="Y873" s="1354"/>
      <c r="Z873" s="1060"/>
    </row>
    <row r="874" spans="25:26">
      <c r="Y874" s="1354"/>
      <c r="Z874" s="1060"/>
    </row>
    <row r="875" spans="25:26">
      <c r="Y875" s="1354"/>
      <c r="Z875" s="1060"/>
    </row>
    <row r="876" spans="25:26">
      <c r="Y876" s="1354"/>
      <c r="Z876" s="1060"/>
    </row>
    <row r="877" spans="25:26">
      <c r="Y877" s="1354"/>
      <c r="Z877" s="1060"/>
    </row>
    <row r="878" spans="25:26">
      <c r="Y878" s="1354"/>
      <c r="Z878" s="1060"/>
    </row>
    <row r="879" spans="25:26">
      <c r="Y879" s="1354"/>
      <c r="Z879" s="1060"/>
    </row>
    <row r="880" spans="25:26">
      <c r="Y880" s="1354"/>
      <c r="Z880" s="1060"/>
    </row>
    <row r="881" spans="25:26">
      <c r="Y881" s="1354"/>
      <c r="Z881" s="1060"/>
    </row>
    <row r="882" spans="25:26">
      <c r="Y882" s="1354"/>
      <c r="Z882" s="1060"/>
    </row>
    <row r="883" spans="25:26">
      <c r="Y883" s="1354"/>
      <c r="Z883" s="1060"/>
    </row>
    <row r="884" spans="25:26">
      <c r="Y884" s="1354"/>
      <c r="Z884" s="1060"/>
    </row>
    <row r="885" spans="25:26">
      <c r="Y885" s="1354"/>
      <c r="Z885" s="1060"/>
    </row>
    <row r="886" spans="25:26">
      <c r="Y886" s="1354"/>
      <c r="Z886" s="1060"/>
    </row>
    <row r="887" spans="25:26">
      <c r="Y887" s="1354"/>
      <c r="Z887" s="1060"/>
    </row>
    <row r="888" spans="25:26">
      <c r="Y888" s="1354"/>
      <c r="Z888" s="1060"/>
    </row>
    <row r="889" spans="25:26">
      <c r="Y889" s="1354"/>
      <c r="Z889" s="1060"/>
    </row>
    <row r="890" spans="25:26">
      <c r="Y890" s="1354"/>
      <c r="Z890" s="1060"/>
    </row>
    <row r="891" spans="25:26">
      <c r="Y891" s="1354"/>
      <c r="Z891" s="1060"/>
    </row>
    <row r="892" spans="25:26">
      <c r="Y892" s="1354"/>
      <c r="Z892" s="1060"/>
    </row>
    <row r="893" spans="25:26">
      <c r="Y893" s="1354"/>
      <c r="Z893" s="1060"/>
    </row>
    <row r="894" spans="25:26">
      <c r="Y894" s="1354"/>
      <c r="Z894" s="1060"/>
    </row>
    <row r="895" spans="25:26">
      <c r="Y895" s="1354"/>
      <c r="Z895" s="1060"/>
    </row>
    <row r="896" spans="25:26">
      <c r="Y896" s="1354"/>
      <c r="Z896" s="1060"/>
    </row>
    <row r="897" spans="25:26">
      <c r="Y897" s="1354"/>
      <c r="Z897" s="1060"/>
    </row>
    <row r="898" spans="25:26">
      <c r="Y898" s="1354"/>
      <c r="Z898" s="1060"/>
    </row>
    <row r="899" spans="25:26">
      <c r="Y899" s="1354"/>
      <c r="Z899" s="1060"/>
    </row>
    <row r="900" spans="25:26">
      <c r="Y900" s="1354"/>
      <c r="Z900" s="1060"/>
    </row>
    <row r="901" spans="25:26">
      <c r="Y901" s="1354"/>
      <c r="Z901" s="1060"/>
    </row>
    <row r="902" spans="25:26">
      <c r="Y902" s="1354"/>
      <c r="Z902" s="1060"/>
    </row>
    <row r="903" spans="25:26">
      <c r="Y903" s="1354"/>
      <c r="Z903" s="1060"/>
    </row>
    <row r="904" spans="25:26">
      <c r="Y904" s="1354"/>
      <c r="Z904" s="1060"/>
    </row>
    <row r="905" spans="25:26">
      <c r="Y905" s="1354"/>
      <c r="Z905" s="1060"/>
    </row>
    <row r="906" spans="25:26">
      <c r="Y906" s="1354"/>
      <c r="Z906" s="1060"/>
    </row>
    <row r="907" spans="25:26">
      <c r="Y907" s="1354"/>
      <c r="Z907" s="1060"/>
    </row>
    <row r="908" spans="25:26">
      <c r="Y908" s="1354"/>
      <c r="Z908" s="1060"/>
    </row>
    <row r="909" spans="25:26">
      <c r="Y909" s="1354"/>
      <c r="Z909" s="1060"/>
    </row>
    <row r="910" spans="25:26">
      <c r="Y910" s="1354"/>
      <c r="Z910" s="1060"/>
    </row>
    <row r="911" spans="25:26">
      <c r="Y911" s="1354"/>
      <c r="Z911" s="1060"/>
    </row>
    <row r="912" spans="25:26">
      <c r="Y912" s="1354"/>
      <c r="Z912" s="1060"/>
    </row>
    <row r="913" spans="25:26">
      <c r="Y913" s="1354"/>
      <c r="Z913" s="1060"/>
    </row>
    <row r="914" spans="25:26">
      <c r="Y914" s="1354"/>
      <c r="Z914" s="1060"/>
    </row>
    <row r="915" spans="25:26">
      <c r="Y915" s="1354"/>
      <c r="Z915" s="1060"/>
    </row>
    <row r="916" spans="25:26">
      <c r="Y916" s="1354"/>
      <c r="Z916" s="1060"/>
    </row>
    <row r="917" spans="25:26">
      <c r="Y917" s="1354"/>
      <c r="Z917" s="1060"/>
    </row>
    <row r="918" spans="25:26">
      <c r="Y918" s="1354"/>
      <c r="Z918" s="1060"/>
    </row>
    <row r="919" spans="25:26">
      <c r="Y919" s="1354"/>
      <c r="Z919" s="1060"/>
    </row>
    <row r="920" spans="25:26">
      <c r="Y920" s="1354"/>
      <c r="Z920" s="1060"/>
    </row>
    <row r="921" spans="25:26">
      <c r="Y921" s="1354"/>
      <c r="Z921" s="1060"/>
    </row>
    <row r="922" spans="25:26">
      <c r="Y922" s="1354"/>
      <c r="Z922" s="1060"/>
    </row>
    <row r="923" spans="25:26">
      <c r="Y923" s="1354"/>
      <c r="Z923" s="1060"/>
    </row>
    <row r="924" spans="25:26">
      <c r="Y924" s="1354"/>
      <c r="Z924" s="1060"/>
    </row>
    <row r="925" spans="25:26">
      <c r="Y925" s="1354"/>
      <c r="Z925" s="1060"/>
    </row>
    <row r="926" spans="25:26">
      <c r="Y926" s="1354"/>
      <c r="Z926" s="1060"/>
    </row>
    <row r="927" spans="25:26">
      <c r="Y927" s="1354"/>
      <c r="Z927" s="1060"/>
    </row>
    <row r="928" spans="25:26">
      <c r="Y928" s="1354"/>
      <c r="Z928" s="1060"/>
    </row>
    <row r="929" spans="25:26">
      <c r="Y929" s="1354"/>
      <c r="Z929" s="1060"/>
    </row>
    <row r="930" spans="25:26">
      <c r="Y930" s="1354"/>
      <c r="Z930" s="1060"/>
    </row>
    <row r="931" spans="25:26">
      <c r="Y931" s="1354"/>
      <c r="Z931" s="1060"/>
    </row>
    <row r="932" spans="25:26">
      <c r="Y932" s="1354"/>
      <c r="Z932" s="1060"/>
    </row>
    <row r="933" spans="25:26">
      <c r="Y933" s="1354"/>
      <c r="Z933" s="1060"/>
    </row>
    <row r="934" spans="25:26">
      <c r="Y934" s="1354"/>
      <c r="Z934" s="1060"/>
    </row>
    <row r="935" spans="25:26">
      <c r="Y935" s="1354"/>
      <c r="Z935" s="1060"/>
    </row>
    <row r="936" spans="25:26">
      <c r="Y936" s="1354"/>
      <c r="Z936" s="1060"/>
    </row>
    <row r="937" spans="25:26">
      <c r="Y937" s="1354"/>
      <c r="Z937" s="1060"/>
    </row>
    <row r="938" spans="25:26">
      <c r="Y938" s="1354"/>
      <c r="Z938" s="1060"/>
    </row>
    <row r="939" spans="25:26">
      <c r="Y939" s="1354"/>
      <c r="Z939" s="1060"/>
    </row>
    <row r="940" spans="25:26">
      <c r="Y940" s="1354"/>
      <c r="Z940" s="1060"/>
    </row>
    <row r="941" spans="25:26">
      <c r="Y941" s="1354"/>
      <c r="Z941" s="1060"/>
    </row>
    <row r="942" spans="25:26">
      <c r="Y942" s="1354"/>
      <c r="Z942" s="1060"/>
    </row>
    <row r="943" spans="25:26">
      <c r="Y943" s="1354"/>
      <c r="Z943" s="1060"/>
    </row>
    <row r="944" spans="25:26">
      <c r="Y944" s="1354"/>
      <c r="Z944" s="1060"/>
    </row>
    <row r="945" spans="25:26">
      <c r="Y945" s="1354"/>
      <c r="Z945" s="1060"/>
    </row>
    <row r="946" spans="25:26">
      <c r="Y946" s="1354"/>
      <c r="Z946" s="1060"/>
    </row>
    <row r="947" spans="25:26">
      <c r="Y947" s="1354"/>
      <c r="Z947" s="1060"/>
    </row>
    <row r="948" spans="25:26">
      <c r="Y948" s="1354"/>
      <c r="Z948" s="1060"/>
    </row>
    <row r="949" spans="25:26">
      <c r="Y949" s="1354"/>
      <c r="Z949" s="1060"/>
    </row>
    <row r="950" spans="25:26">
      <c r="Y950" s="1354"/>
      <c r="Z950" s="1060"/>
    </row>
    <row r="951" spans="25:26">
      <c r="Y951" s="1354"/>
      <c r="Z951" s="1060"/>
    </row>
    <row r="952" spans="25:26">
      <c r="Y952" s="1354"/>
      <c r="Z952" s="1060"/>
    </row>
    <row r="953" spans="25:26">
      <c r="Y953" s="1354"/>
      <c r="Z953" s="1060"/>
    </row>
    <row r="954" spans="25:26">
      <c r="Y954" s="1354"/>
      <c r="Z954" s="1060"/>
    </row>
    <row r="955" spans="25:26">
      <c r="Y955" s="1354"/>
      <c r="Z955" s="1060"/>
    </row>
    <row r="956" spans="25:26">
      <c r="Y956" s="1354"/>
      <c r="Z956" s="1060"/>
    </row>
    <row r="957" spans="25:26">
      <c r="Y957" s="1354"/>
      <c r="Z957" s="1060"/>
    </row>
    <row r="958" spans="25:26">
      <c r="Y958" s="1354"/>
      <c r="Z958" s="1060"/>
    </row>
    <row r="959" spans="25:26">
      <c r="Y959" s="1354"/>
      <c r="Z959" s="1060"/>
    </row>
    <row r="960" spans="25:26">
      <c r="Y960" s="1354"/>
      <c r="Z960" s="1060"/>
    </row>
    <row r="961" spans="25:26">
      <c r="Y961" s="1354"/>
      <c r="Z961" s="1060"/>
    </row>
    <row r="962" spans="25:26">
      <c r="Y962" s="1354"/>
      <c r="Z962" s="1060"/>
    </row>
    <row r="963" spans="25:26">
      <c r="Y963" s="1354"/>
      <c r="Z963" s="1060"/>
    </row>
    <row r="964" spans="25:26">
      <c r="Y964" s="1354"/>
      <c r="Z964" s="1060"/>
    </row>
    <row r="965" spans="25:26">
      <c r="Y965" s="1354"/>
      <c r="Z965" s="1060"/>
    </row>
    <row r="966" spans="25:26">
      <c r="Y966" s="1354"/>
      <c r="Z966" s="1060"/>
    </row>
    <row r="967" spans="25:26">
      <c r="Y967" s="1354"/>
      <c r="Z967" s="1060"/>
    </row>
    <row r="968" spans="25:26">
      <c r="Y968" s="1354"/>
      <c r="Z968" s="1060"/>
    </row>
    <row r="969" spans="25:26">
      <c r="Y969" s="1354"/>
      <c r="Z969" s="1060"/>
    </row>
    <row r="970" spans="25:26">
      <c r="Y970" s="1354"/>
      <c r="Z970" s="1060"/>
    </row>
    <row r="971" spans="25:26">
      <c r="Y971" s="1354"/>
      <c r="Z971" s="1060"/>
    </row>
    <row r="972" spans="25:26">
      <c r="Y972" s="1354"/>
      <c r="Z972" s="1060"/>
    </row>
    <row r="973" spans="25:26">
      <c r="Y973" s="1354"/>
      <c r="Z973" s="1060"/>
    </row>
    <row r="974" spans="25:26">
      <c r="Y974" s="1354"/>
      <c r="Z974" s="1060"/>
    </row>
    <row r="975" spans="25:26">
      <c r="Y975" s="1354"/>
      <c r="Z975" s="1060"/>
    </row>
    <row r="976" spans="25:26">
      <c r="Y976" s="1354"/>
      <c r="Z976" s="1060"/>
    </row>
    <row r="977" spans="25:26">
      <c r="Y977" s="1354"/>
      <c r="Z977" s="1060"/>
    </row>
    <row r="978" spans="25:26">
      <c r="Y978" s="1354"/>
      <c r="Z978" s="1060"/>
    </row>
    <row r="979" spans="25:26">
      <c r="Y979" s="1354"/>
      <c r="Z979" s="1060"/>
    </row>
    <row r="980" spans="25:26">
      <c r="Y980" s="1354"/>
      <c r="Z980" s="1060"/>
    </row>
    <row r="981" spans="25:26">
      <c r="Y981" s="1354"/>
      <c r="Z981" s="1060"/>
    </row>
    <row r="982" spans="25:26">
      <c r="Y982" s="1354"/>
      <c r="Z982" s="1060"/>
    </row>
    <row r="983" spans="25:26">
      <c r="Y983" s="1354"/>
      <c r="Z983" s="1060"/>
    </row>
    <row r="984" spans="25:26">
      <c r="Y984" s="1354"/>
      <c r="Z984" s="1060"/>
    </row>
    <row r="985" spans="25:26">
      <c r="Y985" s="1354"/>
      <c r="Z985" s="1060"/>
    </row>
    <row r="986" spans="25:26">
      <c r="Y986" s="1354"/>
      <c r="Z986" s="1060"/>
    </row>
    <row r="987" spans="25:26">
      <c r="Y987" s="1354"/>
      <c r="Z987" s="1060"/>
    </row>
    <row r="988" spans="25:26">
      <c r="Y988" s="1354"/>
      <c r="Z988" s="1060"/>
    </row>
    <row r="989" spans="25:26">
      <c r="Y989" s="1354"/>
      <c r="Z989" s="1060"/>
    </row>
    <row r="990" spans="25:26">
      <c r="Y990" s="1354"/>
      <c r="Z990" s="1060"/>
    </row>
    <row r="991" spans="25:26">
      <c r="Y991" s="1354"/>
      <c r="Z991" s="1060"/>
    </row>
    <row r="992" spans="25:26">
      <c r="Y992" s="1354"/>
      <c r="Z992" s="1060"/>
    </row>
    <row r="993" spans="25:26">
      <c r="Y993" s="1354"/>
      <c r="Z993" s="1060"/>
    </row>
    <row r="994" spans="25:26">
      <c r="Y994" s="1354"/>
      <c r="Z994" s="1060"/>
    </row>
    <row r="995" spans="25:26">
      <c r="Y995" s="1354"/>
      <c r="Z995" s="1060"/>
    </row>
    <row r="996" spans="25:26">
      <c r="Y996" s="1354"/>
      <c r="Z996" s="1060"/>
    </row>
    <row r="997" spans="25:26">
      <c r="Y997" s="1354"/>
      <c r="Z997" s="1060"/>
    </row>
    <row r="998" spans="25:26">
      <c r="Y998" s="1354"/>
      <c r="Z998" s="1060"/>
    </row>
    <row r="999" spans="25:26">
      <c r="Y999" s="1354"/>
      <c r="Z999" s="1060"/>
    </row>
    <row r="1000" spans="25:26">
      <c r="Y1000" s="1354"/>
      <c r="Z1000" s="1060"/>
    </row>
    <row r="1001" spans="25:26">
      <c r="Y1001" s="1354"/>
      <c r="Z1001" s="1060"/>
    </row>
    <row r="1002" spans="25:26">
      <c r="Y1002" s="1354"/>
      <c r="Z1002" s="1060"/>
    </row>
    <row r="1003" spans="25:26">
      <c r="Y1003" s="1354"/>
      <c r="Z1003" s="1060"/>
    </row>
    <row r="1004" spans="25:26">
      <c r="Y1004" s="1354"/>
      <c r="Z1004" s="1060"/>
    </row>
    <row r="1005" spans="25:26">
      <c r="Y1005" s="1354"/>
      <c r="Z1005" s="1060"/>
    </row>
    <row r="1006" spans="25:26">
      <c r="Y1006" s="1354"/>
      <c r="Z1006" s="1060"/>
    </row>
    <row r="1007" spans="25:26">
      <c r="Y1007" s="1354"/>
      <c r="Z1007" s="1060"/>
    </row>
    <row r="1008" spans="25:26">
      <c r="Y1008" s="1354"/>
      <c r="Z1008" s="1060"/>
    </row>
    <row r="1009" spans="25:26">
      <c r="Y1009" s="1354"/>
      <c r="Z1009" s="1060"/>
    </row>
    <row r="1010" spans="25:26">
      <c r="Y1010" s="1354"/>
      <c r="Z1010" s="1060"/>
    </row>
    <row r="1011" spans="25:26">
      <c r="Y1011" s="1354"/>
      <c r="Z1011" s="1060"/>
    </row>
    <row r="1012" spans="25:26">
      <c r="Y1012" s="1354"/>
      <c r="Z1012" s="1060"/>
    </row>
    <row r="1013" spans="25:26">
      <c r="Y1013" s="1354"/>
      <c r="Z1013" s="1060"/>
    </row>
    <row r="1014" spans="25:26">
      <c r="Y1014" s="1354"/>
      <c r="Z1014" s="1060"/>
    </row>
    <row r="1015" spans="25:26">
      <c r="Y1015" s="1354"/>
      <c r="Z1015" s="1060"/>
    </row>
    <row r="1016" spans="25:26">
      <c r="Y1016" s="1354"/>
      <c r="Z1016" s="1060"/>
    </row>
    <row r="1017" spans="25:26">
      <c r="Y1017" s="1354"/>
      <c r="Z1017" s="1060"/>
    </row>
    <row r="1018" spans="25:26">
      <c r="Y1018" s="1354"/>
      <c r="Z1018" s="1060"/>
    </row>
    <row r="1019" spans="25:26">
      <c r="Y1019" s="1354"/>
      <c r="Z1019" s="1060"/>
    </row>
    <row r="1020" spans="25:26">
      <c r="Y1020" s="1354"/>
      <c r="Z1020" s="1060"/>
    </row>
    <row r="1021" spans="25:26">
      <c r="Y1021" s="1354"/>
      <c r="Z1021" s="1060"/>
    </row>
    <row r="1022" spans="25:26">
      <c r="Y1022" s="1354"/>
      <c r="Z1022" s="1060"/>
    </row>
    <row r="1023" spans="25:26">
      <c r="Y1023" s="1354"/>
      <c r="Z1023" s="1060"/>
    </row>
    <row r="1024" spans="25:26">
      <c r="Y1024" s="1354"/>
      <c r="Z1024" s="1060"/>
    </row>
    <row r="1025" spans="25:26">
      <c r="Y1025" s="1354"/>
      <c r="Z1025" s="1060"/>
    </row>
    <row r="1026" spans="25:26">
      <c r="Y1026" s="1354"/>
      <c r="Z1026" s="1060"/>
    </row>
    <row r="1027" spans="25:26">
      <c r="Y1027" s="1354"/>
      <c r="Z1027" s="1060"/>
    </row>
    <row r="1028" spans="25:26">
      <c r="Y1028" s="1354"/>
      <c r="Z1028" s="1060"/>
    </row>
    <row r="1029" spans="25:26">
      <c r="Y1029" s="1354"/>
      <c r="Z1029" s="1060"/>
    </row>
    <row r="1030" spans="25:26">
      <c r="Y1030" s="1354"/>
      <c r="Z1030" s="1060"/>
    </row>
    <row r="1031" spans="25:26">
      <c r="Y1031" s="1354"/>
      <c r="Z1031" s="1060"/>
    </row>
    <row r="1032" spans="25:26">
      <c r="Y1032" s="1354"/>
      <c r="Z1032" s="1060"/>
    </row>
    <row r="1033" spans="25:26">
      <c r="Y1033" s="1354"/>
      <c r="Z1033" s="1060"/>
    </row>
    <row r="1034" spans="25:26">
      <c r="Y1034" s="1354"/>
      <c r="Z1034" s="1060"/>
    </row>
    <row r="1035" spans="25:26">
      <c r="Y1035" s="1354"/>
      <c r="Z1035" s="1060"/>
    </row>
    <row r="1036" spans="25:26">
      <c r="Y1036" s="1354"/>
      <c r="Z1036" s="1060"/>
    </row>
    <row r="1037" spans="25:26">
      <c r="Y1037" s="1354"/>
      <c r="Z1037" s="1060"/>
    </row>
    <row r="1038" spans="25:26">
      <c r="Y1038" s="1354"/>
      <c r="Z1038" s="1060"/>
    </row>
    <row r="1039" spans="25:26">
      <c r="Y1039" s="1354"/>
      <c r="Z1039" s="1060"/>
    </row>
    <row r="1040" spans="25:26">
      <c r="Y1040" s="1354"/>
      <c r="Z1040" s="1060"/>
    </row>
    <row r="1041" spans="25:26">
      <c r="Y1041" s="1354"/>
      <c r="Z1041" s="1060"/>
    </row>
    <row r="1042" spans="25:26">
      <c r="Y1042" s="1354"/>
      <c r="Z1042" s="1060"/>
    </row>
    <row r="1043" spans="25:26">
      <c r="Y1043" s="1354"/>
      <c r="Z1043" s="1060"/>
    </row>
    <row r="1044" spans="25:26">
      <c r="Y1044" s="1354"/>
      <c r="Z1044" s="1060"/>
    </row>
    <row r="1045" spans="25:26">
      <c r="Y1045" s="1354"/>
      <c r="Z1045" s="1060"/>
    </row>
    <row r="1046" spans="25:26">
      <c r="Y1046" s="1354"/>
      <c r="Z1046" s="1060"/>
    </row>
    <row r="1047" spans="25:26">
      <c r="Y1047" s="1354"/>
      <c r="Z1047" s="1060"/>
    </row>
    <row r="1048" spans="25:26">
      <c r="Y1048" s="1354"/>
      <c r="Z1048" s="1060"/>
    </row>
    <row r="1049" spans="25:26">
      <c r="Y1049" s="1354"/>
      <c r="Z1049" s="1060"/>
    </row>
    <row r="1050" spans="25:26">
      <c r="Y1050" s="1354"/>
      <c r="Z1050" s="1060"/>
    </row>
    <row r="1051" spans="25:26">
      <c r="Y1051" s="1354"/>
      <c r="Z1051" s="1060"/>
    </row>
    <row r="1052" spans="25:26">
      <c r="Y1052" s="1354"/>
      <c r="Z1052" s="1060"/>
    </row>
    <row r="1053" spans="25:26">
      <c r="Y1053" s="1354"/>
      <c r="Z1053" s="1060"/>
    </row>
    <row r="1054" spans="25:26">
      <c r="Y1054" s="1354"/>
      <c r="Z1054" s="1060"/>
    </row>
    <row r="1055" spans="25:26">
      <c r="Y1055" s="1354"/>
      <c r="Z1055" s="1060"/>
    </row>
    <row r="1056" spans="25:26">
      <c r="Y1056" s="1354"/>
      <c r="Z1056" s="1060"/>
    </row>
    <row r="1057" spans="25:26">
      <c r="Y1057" s="1354"/>
      <c r="Z1057" s="1060"/>
    </row>
    <row r="1058" spans="25:26">
      <c r="Y1058" s="1354"/>
      <c r="Z1058" s="1060"/>
    </row>
    <row r="1059" spans="25:26">
      <c r="Y1059" s="1354"/>
      <c r="Z1059" s="1060"/>
    </row>
    <row r="1060" spans="25:26">
      <c r="Y1060" s="1354"/>
      <c r="Z1060" s="1060"/>
    </row>
    <row r="1061" spans="25:26">
      <c r="Y1061" s="1354"/>
      <c r="Z1061" s="1060"/>
    </row>
    <row r="1062" spans="25:26">
      <c r="Y1062" s="1354"/>
      <c r="Z1062" s="1060"/>
    </row>
    <row r="1063" spans="25:26">
      <c r="Y1063" s="1354"/>
      <c r="Z1063" s="1060"/>
    </row>
    <row r="1064" spans="25:26">
      <c r="Y1064" s="1354"/>
      <c r="Z1064" s="1060"/>
    </row>
    <row r="1065" spans="25:26">
      <c r="Y1065" s="1354"/>
      <c r="Z1065" s="1060"/>
    </row>
    <row r="1066" spans="25:26">
      <c r="Y1066" s="1354"/>
      <c r="Z1066" s="1060"/>
    </row>
    <row r="1067" spans="25:26">
      <c r="Y1067" s="1354"/>
      <c r="Z1067" s="1060"/>
    </row>
    <row r="1068" spans="25:26">
      <c r="Y1068" s="1354"/>
      <c r="Z1068" s="1060"/>
    </row>
    <row r="1069" spans="25:26">
      <c r="Y1069" s="1354"/>
      <c r="Z1069" s="1060"/>
    </row>
    <row r="1070" spans="25:26">
      <c r="Y1070" s="1354"/>
      <c r="Z1070" s="1060"/>
    </row>
    <row r="1071" spans="25:26">
      <c r="Y1071" s="1354"/>
      <c r="Z1071" s="1060"/>
    </row>
    <row r="1072" spans="25:26">
      <c r="Y1072" s="1354"/>
      <c r="Z1072" s="1060"/>
    </row>
    <row r="1073" spans="25:26">
      <c r="Y1073" s="1354"/>
      <c r="Z1073" s="1060"/>
    </row>
    <row r="1074" spans="25:26">
      <c r="Y1074" s="1354"/>
      <c r="Z1074" s="1060"/>
    </row>
    <row r="1075" spans="25:26">
      <c r="Y1075" s="1354"/>
      <c r="Z1075" s="1060"/>
    </row>
    <row r="1076" spans="25:26">
      <c r="Y1076" s="1354"/>
      <c r="Z1076" s="1060"/>
    </row>
    <row r="1077" spans="25:26">
      <c r="Y1077" s="1354"/>
      <c r="Z1077" s="1060"/>
    </row>
    <row r="1078" spans="25:26">
      <c r="Y1078" s="1354"/>
      <c r="Z1078" s="1060"/>
    </row>
    <row r="1079" spans="25:26">
      <c r="Y1079" s="1354"/>
      <c r="Z1079" s="1060"/>
    </row>
    <row r="1080" spans="25:26">
      <c r="Y1080" s="1354"/>
      <c r="Z1080" s="1060"/>
    </row>
    <row r="1081" spans="25:26">
      <c r="Y1081" s="1354"/>
      <c r="Z1081" s="1060"/>
    </row>
    <row r="1082" spans="25:26">
      <c r="Y1082" s="1354"/>
      <c r="Z1082" s="1060"/>
    </row>
    <row r="1083" spans="25:26">
      <c r="Y1083" s="1354"/>
      <c r="Z1083" s="1060"/>
    </row>
    <row r="1084" spans="25:26">
      <c r="Y1084" s="1354"/>
      <c r="Z1084" s="1060"/>
    </row>
    <row r="1085" spans="25:26">
      <c r="Y1085" s="1354"/>
      <c r="Z1085" s="1060"/>
    </row>
    <row r="1086" spans="25:26">
      <c r="Y1086" s="1354"/>
      <c r="Z1086" s="1060"/>
    </row>
    <row r="1087" spans="25:26">
      <c r="Y1087" s="1354"/>
      <c r="Z1087" s="1060"/>
    </row>
    <row r="1088" spans="25:26">
      <c r="Y1088" s="1354"/>
      <c r="Z1088" s="1060"/>
    </row>
    <row r="1089" spans="25:26">
      <c r="Y1089" s="1354"/>
      <c r="Z1089" s="1060"/>
    </row>
    <row r="1090" spans="25:26">
      <c r="Y1090" s="1354"/>
      <c r="Z1090" s="1060"/>
    </row>
    <row r="1091" spans="25:26">
      <c r="Y1091" s="1354"/>
      <c r="Z1091" s="1060"/>
    </row>
    <row r="1092" spans="25:26">
      <c r="Y1092" s="1354"/>
      <c r="Z1092" s="1060"/>
    </row>
    <row r="1093" spans="25:26">
      <c r="Y1093" s="1354"/>
      <c r="Z1093" s="1060"/>
    </row>
    <row r="1094" spans="25:26">
      <c r="Y1094" s="1354"/>
      <c r="Z1094" s="1060"/>
    </row>
    <row r="1095" spans="25:26">
      <c r="Y1095" s="1354"/>
      <c r="Z1095" s="1060"/>
    </row>
    <row r="1096" spans="25:26">
      <c r="Y1096" s="1354"/>
      <c r="Z1096" s="1060"/>
    </row>
    <row r="1097" spans="25:26">
      <c r="Y1097" s="1354"/>
      <c r="Z1097" s="1060"/>
    </row>
    <row r="1098" spans="25:26">
      <c r="Y1098" s="1354"/>
      <c r="Z1098" s="1060"/>
    </row>
    <row r="1099" spans="25:26">
      <c r="Y1099" s="1354"/>
      <c r="Z1099" s="1060"/>
    </row>
    <row r="1100" spans="25:26">
      <c r="Y1100" s="1354"/>
      <c r="Z1100" s="1060"/>
    </row>
    <row r="1101" spans="25:26">
      <c r="Y1101" s="1354"/>
      <c r="Z1101" s="1060"/>
    </row>
    <row r="1102" spans="25:26">
      <c r="Y1102" s="1354"/>
      <c r="Z1102" s="1060"/>
    </row>
    <row r="1103" spans="25:26">
      <c r="Y1103" s="1354"/>
      <c r="Z1103" s="1060"/>
    </row>
    <row r="1104" spans="25:26">
      <c r="Y1104" s="1354"/>
      <c r="Z1104" s="1060"/>
    </row>
    <row r="1105" spans="25:26">
      <c r="Y1105" s="1354"/>
      <c r="Z1105" s="1060"/>
    </row>
    <row r="1106" spans="25:26">
      <c r="Y1106" s="1354"/>
      <c r="Z1106" s="1060"/>
    </row>
    <row r="1107" spans="25:26">
      <c r="Y1107" s="1354"/>
      <c r="Z1107" s="1060"/>
    </row>
    <row r="1108" spans="25:26">
      <c r="Y1108" s="1354"/>
      <c r="Z1108" s="1060"/>
    </row>
    <row r="1109" spans="25:26">
      <c r="Y1109" s="1354"/>
      <c r="Z1109" s="1060"/>
    </row>
    <row r="1110" spans="25:26">
      <c r="Y1110" s="1354"/>
      <c r="Z1110" s="1060"/>
    </row>
    <row r="1111" spans="25:26">
      <c r="Y1111" s="1354"/>
      <c r="Z1111" s="1060"/>
    </row>
    <row r="1112" spans="25:26">
      <c r="Y1112" s="1354"/>
      <c r="Z1112" s="1060"/>
    </row>
    <row r="1113" spans="25:26">
      <c r="Y1113" s="1354"/>
      <c r="Z1113" s="1060"/>
    </row>
    <row r="1114" spans="25:26">
      <c r="Y1114" s="1354"/>
      <c r="Z1114" s="1060"/>
    </row>
    <row r="1115" spans="25:26">
      <c r="Y1115" s="1354"/>
      <c r="Z1115" s="1060"/>
    </row>
    <row r="1116" spans="25:26">
      <c r="Y1116" s="1354"/>
      <c r="Z1116" s="1060"/>
    </row>
    <row r="1117" spans="25:26">
      <c r="Y1117" s="1354"/>
      <c r="Z1117" s="1060"/>
    </row>
    <row r="1118" spans="25:26">
      <c r="Y1118" s="1354"/>
      <c r="Z1118" s="1060"/>
    </row>
    <row r="1119" spans="25:26">
      <c r="Y1119" s="1354"/>
      <c r="Z1119" s="1060"/>
    </row>
    <row r="1120" spans="25:26">
      <c r="Y1120" s="1354"/>
      <c r="Z1120" s="1060"/>
    </row>
    <row r="1121" spans="25:26">
      <c r="Y1121" s="1354"/>
      <c r="Z1121" s="1060"/>
    </row>
    <row r="1122" spans="25:26">
      <c r="Y1122" s="1354"/>
      <c r="Z1122" s="1060"/>
    </row>
    <row r="1123" spans="25:26">
      <c r="Y1123" s="1354"/>
      <c r="Z1123" s="1060"/>
    </row>
    <row r="1124" spans="25:26">
      <c r="Y1124" s="1354"/>
      <c r="Z1124" s="1060"/>
    </row>
    <row r="1125" spans="25:26">
      <c r="Y1125" s="1354"/>
      <c r="Z1125" s="1060"/>
    </row>
    <row r="1126" spans="25:26">
      <c r="Y1126" s="1354"/>
      <c r="Z1126" s="1060"/>
    </row>
    <row r="1127" spans="25:26">
      <c r="Y1127" s="1354"/>
      <c r="Z1127" s="1060"/>
    </row>
    <row r="1128" spans="25:26">
      <c r="Y1128" s="1354"/>
      <c r="Z1128" s="1060"/>
    </row>
    <row r="1129" spans="25:26">
      <c r="Y1129" s="1354"/>
      <c r="Z1129" s="1060"/>
    </row>
    <row r="1130" spans="25:26">
      <c r="Y1130" s="1354"/>
      <c r="Z1130" s="1060"/>
    </row>
    <row r="1131" spans="25:26">
      <c r="Y1131" s="1354"/>
      <c r="Z1131" s="1060"/>
    </row>
    <row r="1132" spans="25:26">
      <c r="Y1132" s="1354"/>
      <c r="Z1132" s="1060"/>
    </row>
    <row r="1133" spans="25:26">
      <c r="Y1133" s="1354"/>
      <c r="Z1133" s="1060"/>
    </row>
    <row r="1134" spans="25:26">
      <c r="Y1134" s="1354"/>
      <c r="Z1134" s="1060"/>
    </row>
    <row r="1135" spans="25:26">
      <c r="Y1135" s="1354"/>
      <c r="Z1135" s="1060"/>
    </row>
    <row r="1136" spans="25:26">
      <c r="Y1136" s="1354"/>
      <c r="Z1136" s="1060"/>
    </row>
    <row r="1137" spans="25:26">
      <c r="Y1137" s="1354"/>
      <c r="Z1137" s="1060"/>
    </row>
    <row r="1138" spans="25:26">
      <c r="Y1138" s="1354"/>
      <c r="Z1138" s="1060"/>
    </row>
    <row r="1139" spans="25:26">
      <c r="Y1139" s="1354"/>
      <c r="Z1139" s="1060"/>
    </row>
    <row r="1140" spans="25:26">
      <c r="Y1140" s="1354"/>
      <c r="Z1140" s="1060"/>
    </row>
    <row r="1141" spans="25:26">
      <c r="Y1141" s="1354"/>
      <c r="Z1141" s="1060"/>
    </row>
    <row r="1142" spans="25:26">
      <c r="Y1142" s="1354"/>
      <c r="Z1142" s="1060"/>
    </row>
    <row r="1143" spans="25:26">
      <c r="Y1143" s="1354"/>
      <c r="Z1143" s="1060"/>
    </row>
    <row r="1144" spans="25:26">
      <c r="Y1144" s="1354"/>
      <c r="Z1144" s="1060"/>
    </row>
    <row r="1145" spans="25:26">
      <c r="Y1145" s="1354"/>
      <c r="Z1145" s="1060"/>
    </row>
    <row r="1146" spans="25:26">
      <c r="Y1146" s="1354"/>
      <c r="Z1146" s="1060"/>
    </row>
    <row r="1147" spans="25:26">
      <c r="Y1147" s="1354"/>
      <c r="Z1147" s="1060"/>
    </row>
    <row r="1148" spans="25:26">
      <c r="Y1148" s="1354"/>
      <c r="Z1148" s="1060"/>
    </row>
    <row r="1149" spans="25:26">
      <c r="Y1149" s="1354"/>
      <c r="Z1149" s="1060"/>
    </row>
    <row r="1150" spans="25:26">
      <c r="Y1150" s="1354"/>
      <c r="Z1150" s="1060"/>
    </row>
    <row r="1151" spans="25:26">
      <c r="Y1151" s="1354"/>
      <c r="Z1151" s="1060"/>
    </row>
    <row r="1152" spans="25:26">
      <c r="Y1152" s="1354"/>
      <c r="Z1152" s="1060"/>
    </row>
    <row r="1153" spans="25:26">
      <c r="Y1153" s="1354"/>
      <c r="Z1153" s="1060"/>
    </row>
    <row r="1154" spans="25:26">
      <c r="Y1154" s="1354"/>
      <c r="Z1154" s="1060"/>
    </row>
    <row r="1155" spans="25:26">
      <c r="Y1155" s="1354"/>
      <c r="Z1155" s="1060"/>
    </row>
    <row r="1156" spans="25:26">
      <c r="Y1156" s="1354"/>
      <c r="Z1156" s="1060"/>
    </row>
    <row r="1157" spans="25:26">
      <c r="Y1157" s="1354"/>
      <c r="Z1157" s="1060"/>
    </row>
    <row r="1158" spans="25:26">
      <c r="Y1158" s="1354"/>
      <c r="Z1158" s="1060"/>
    </row>
    <row r="1159" spans="25:26">
      <c r="Y1159" s="1354"/>
      <c r="Z1159" s="1060"/>
    </row>
    <row r="1160" spans="25:26">
      <c r="Y1160" s="1354"/>
      <c r="Z1160" s="1060"/>
    </row>
    <row r="1161" spans="25:26">
      <c r="Y1161" s="1354"/>
      <c r="Z1161" s="1060"/>
    </row>
    <row r="1162" spans="25:26">
      <c r="Y1162" s="1354"/>
      <c r="Z1162" s="1060"/>
    </row>
    <row r="1163" spans="25:26">
      <c r="Y1163" s="1354"/>
      <c r="Z1163" s="1060"/>
    </row>
    <row r="1164" spans="25:26">
      <c r="Y1164" s="1354"/>
      <c r="Z1164" s="1060"/>
    </row>
    <row r="1165" spans="25:26">
      <c r="Y1165" s="1354"/>
      <c r="Z1165" s="1060"/>
    </row>
    <row r="1166" spans="25:26">
      <c r="Y1166" s="1354"/>
      <c r="Z1166" s="1060"/>
    </row>
    <row r="1167" spans="25:26">
      <c r="Y1167" s="1354"/>
      <c r="Z1167" s="1060"/>
    </row>
    <row r="1168" spans="25:26">
      <c r="Y1168" s="1354"/>
      <c r="Z1168" s="1060"/>
    </row>
    <row r="1169" spans="25:26">
      <c r="Y1169" s="1354"/>
      <c r="Z1169" s="1060"/>
    </row>
    <row r="1170" spans="25:26">
      <c r="Y1170" s="1354"/>
      <c r="Z1170" s="1060"/>
    </row>
    <row r="1171" spans="25:26">
      <c r="Y1171" s="1354"/>
      <c r="Z1171" s="1060"/>
    </row>
    <row r="1172" spans="25:26">
      <c r="Y1172" s="1354"/>
      <c r="Z1172" s="1060"/>
    </row>
    <row r="1173" spans="25:26">
      <c r="Y1173" s="1354"/>
      <c r="Z1173" s="1060"/>
    </row>
    <row r="1174" spans="25:26">
      <c r="Y1174" s="1354"/>
      <c r="Z1174" s="1060"/>
    </row>
    <row r="1175" spans="25:26">
      <c r="Y1175" s="1354"/>
      <c r="Z1175" s="1060"/>
    </row>
    <row r="1176" spans="25:26">
      <c r="Y1176" s="1354"/>
      <c r="Z1176" s="1060"/>
    </row>
    <row r="1177" spans="25:26">
      <c r="Y1177" s="1354"/>
      <c r="Z1177" s="1060"/>
    </row>
    <row r="1178" spans="25:26">
      <c r="Y1178" s="1354"/>
      <c r="Z1178" s="1060"/>
    </row>
    <row r="1179" spans="25:26">
      <c r="Y1179" s="1354"/>
      <c r="Z1179" s="1060"/>
    </row>
    <row r="1180" spans="25:26">
      <c r="Y1180" s="1354"/>
      <c r="Z1180" s="1060"/>
    </row>
    <row r="1181" spans="25:26">
      <c r="Y1181" s="1354"/>
      <c r="Z1181" s="1060"/>
    </row>
    <row r="1182" spans="25:26">
      <c r="Y1182" s="1354"/>
      <c r="Z1182" s="1060"/>
    </row>
    <row r="1183" spans="25:26">
      <c r="Y1183" s="1354"/>
      <c r="Z1183" s="1060"/>
    </row>
    <row r="1184" spans="25:26">
      <c r="Y1184" s="1354"/>
      <c r="Z1184" s="1060"/>
    </row>
    <row r="1185" spans="25:26">
      <c r="Y1185" s="1354"/>
      <c r="Z1185" s="1060"/>
    </row>
    <row r="1186" spans="25:26">
      <c r="Y1186" s="1354"/>
      <c r="Z1186" s="1060"/>
    </row>
    <row r="1187" spans="25:26">
      <c r="Y1187" s="1354"/>
      <c r="Z1187" s="1060"/>
    </row>
    <row r="1188" spans="25:26">
      <c r="Y1188" s="1354"/>
      <c r="Z1188" s="1060"/>
    </row>
    <row r="1189" spans="25:26">
      <c r="Y1189" s="1354"/>
      <c r="Z1189" s="1060"/>
    </row>
    <row r="1190" spans="25:26">
      <c r="Y1190" s="1354"/>
      <c r="Z1190" s="1060"/>
    </row>
    <row r="1191" spans="25:26">
      <c r="Y1191" s="1354"/>
      <c r="Z1191" s="1060"/>
    </row>
    <row r="1192" spans="25:26">
      <c r="Y1192" s="1354"/>
      <c r="Z1192" s="1060"/>
    </row>
    <row r="1193" spans="25:26">
      <c r="Y1193" s="1354"/>
      <c r="Z1193" s="1060"/>
    </row>
    <row r="1194" spans="25:26">
      <c r="Y1194" s="1354"/>
      <c r="Z1194" s="1060"/>
    </row>
    <row r="1195" spans="25:26">
      <c r="Y1195" s="1354"/>
      <c r="Z1195" s="1060"/>
    </row>
    <row r="1196" spans="25:26">
      <c r="Y1196" s="1354"/>
      <c r="Z1196" s="1060"/>
    </row>
    <row r="1197" spans="25:26">
      <c r="Y1197" s="1354"/>
      <c r="Z1197" s="1060"/>
    </row>
    <row r="1198" spans="25:26">
      <c r="Y1198" s="1354"/>
      <c r="Z1198" s="1060"/>
    </row>
    <row r="1199" spans="25:26">
      <c r="Y1199" s="1354"/>
      <c r="Z1199" s="1060"/>
    </row>
    <row r="1200" spans="25:26">
      <c r="Y1200" s="1354"/>
      <c r="Z1200" s="1060"/>
    </row>
    <row r="1201" spans="25:26">
      <c r="Y1201" s="1354"/>
      <c r="Z1201" s="1060"/>
    </row>
    <row r="1202" spans="25:26">
      <c r="Y1202" s="1354"/>
      <c r="Z1202" s="1060"/>
    </row>
    <row r="1203" spans="25:26">
      <c r="Y1203" s="1354"/>
      <c r="Z1203" s="1060"/>
    </row>
    <row r="1204" spans="25:26">
      <c r="Y1204" s="1354"/>
      <c r="Z1204" s="1060"/>
    </row>
    <row r="1205" spans="25:26">
      <c r="Y1205" s="1354"/>
      <c r="Z1205" s="1060"/>
    </row>
    <row r="1206" spans="25:26">
      <c r="Y1206" s="1354"/>
      <c r="Z1206" s="1060"/>
    </row>
    <row r="1207" spans="25:26">
      <c r="Y1207" s="1354"/>
      <c r="Z1207" s="1060"/>
    </row>
    <row r="1208" spans="25:26">
      <c r="Y1208" s="1354"/>
      <c r="Z1208" s="1060"/>
    </row>
    <row r="1209" spans="25:26">
      <c r="Y1209" s="1354"/>
      <c r="Z1209" s="1060"/>
    </row>
    <row r="1210" spans="25:26">
      <c r="Y1210" s="1354"/>
      <c r="Z1210" s="1060"/>
    </row>
    <row r="1211" spans="25:26">
      <c r="Y1211" s="1354"/>
      <c r="Z1211" s="1060"/>
    </row>
    <row r="1212" spans="25:26">
      <c r="Y1212" s="1354"/>
      <c r="Z1212" s="1060"/>
    </row>
    <row r="1213" spans="25:26">
      <c r="Y1213" s="1354"/>
      <c r="Z1213" s="1060"/>
    </row>
    <row r="1214" spans="25:26">
      <c r="Y1214" s="1354"/>
      <c r="Z1214" s="1060"/>
    </row>
    <row r="1215" spans="25:26">
      <c r="Y1215" s="1354"/>
      <c r="Z1215" s="1060"/>
    </row>
    <row r="1216" spans="25:26">
      <c r="Y1216" s="1354"/>
      <c r="Z1216" s="1060"/>
    </row>
    <row r="1217" spans="25:26">
      <c r="Y1217" s="1354"/>
      <c r="Z1217" s="1060"/>
    </row>
    <row r="1218" spans="25:26">
      <c r="Y1218" s="1354"/>
      <c r="Z1218" s="1060"/>
    </row>
    <row r="1219" spans="25:26">
      <c r="Y1219" s="1354"/>
      <c r="Z1219" s="1060"/>
    </row>
    <row r="1220" spans="25:26">
      <c r="Y1220" s="1354"/>
      <c r="Z1220" s="1060"/>
    </row>
    <row r="1221" spans="25:26">
      <c r="Y1221" s="1354"/>
      <c r="Z1221" s="1060"/>
    </row>
    <row r="1222" spans="25:26">
      <c r="Y1222" s="1354"/>
      <c r="Z1222" s="1060"/>
    </row>
    <row r="1223" spans="25:26">
      <c r="Y1223" s="1354"/>
      <c r="Z1223" s="1060"/>
    </row>
    <row r="1224" spans="25:26">
      <c r="Y1224" s="1354"/>
      <c r="Z1224" s="1060"/>
    </row>
    <row r="1225" spans="25:26">
      <c r="Y1225" s="1354"/>
      <c r="Z1225" s="1060"/>
    </row>
    <row r="1226" spans="25:26">
      <c r="Y1226" s="1354"/>
      <c r="Z1226" s="1060"/>
    </row>
    <row r="1227" spans="25:26">
      <c r="Y1227" s="1354"/>
      <c r="Z1227" s="1060"/>
    </row>
    <row r="1228" spans="25:26">
      <c r="Y1228" s="1354"/>
      <c r="Z1228" s="1060"/>
    </row>
    <row r="1229" spans="25:26">
      <c r="Y1229" s="1354"/>
      <c r="Z1229" s="1060"/>
    </row>
    <row r="1230" spans="25:26">
      <c r="Y1230" s="1354"/>
      <c r="Z1230" s="1060"/>
    </row>
    <row r="1231" spans="25:26">
      <c r="Y1231" s="1354"/>
      <c r="Z1231" s="1060"/>
    </row>
    <row r="1232" spans="25:26">
      <c r="Y1232" s="1354"/>
      <c r="Z1232" s="1060"/>
    </row>
    <row r="1233" spans="25:26">
      <c r="Y1233" s="1354"/>
      <c r="Z1233" s="1060"/>
    </row>
    <row r="1234" spans="25:26">
      <c r="Y1234" s="1354"/>
      <c r="Z1234" s="1060"/>
    </row>
    <row r="1235" spans="25:26">
      <c r="Y1235" s="1354"/>
      <c r="Z1235" s="1060"/>
    </row>
    <row r="1236" spans="25:26">
      <c r="Y1236" s="1354"/>
      <c r="Z1236" s="1060"/>
    </row>
    <row r="1237" spans="25:26">
      <c r="Y1237" s="1354"/>
      <c r="Z1237" s="1060"/>
    </row>
    <row r="1238" spans="25:26">
      <c r="Y1238" s="1354"/>
      <c r="Z1238" s="1060"/>
    </row>
    <row r="1239" spans="25:26">
      <c r="Y1239" s="1354"/>
      <c r="Z1239" s="1060"/>
    </row>
    <row r="1240" spans="25:26">
      <c r="Y1240" s="1354"/>
      <c r="Z1240" s="1060"/>
    </row>
    <row r="1241" spans="25:26">
      <c r="Y1241" s="1354"/>
      <c r="Z1241" s="1060"/>
    </row>
    <row r="1242" spans="25:26">
      <c r="Y1242" s="1354"/>
      <c r="Z1242" s="1060"/>
    </row>
    <row r="1243" spans="25:26">
      <c r="Y1243" s="1354"/>
      <c r="Z1243" s="1060"/>
    </row>
    <row r="1244" spans="25:26">
      <c r="Y1244" s="1354"/>
      <c r="Z1244" s="1060"/>
    </row>
    <row r="1245" spans="25:26">
      <c r="Y1245" s="1354"/>
      <c r="Z1245" s="1060"/>
    </row>
    <row r="1246" spans="25:26">
      <c r="Y1246" s="1354"/>
      <c r="Z1246" s="1060"/>
    </row>
    <row r="1247" spans="25:26">
      <c r="Y1247" s="1354"/>
      <c r="Z1247" s="1060"/>
    </row>
    <row r="1248" spans="25:26">
      <c r="Y1248" s="1354"/>
      <c r="Z1248" s="1060"/>
    </row>
    <row r="1249" spans="25:26">
      <c r="Y1249" s="1354"/>
      <c r="Z1249" s="1060"/>
    </row>
    <row r="1250" spans="25:26">
      <c r="Y1250" s="1354"/>
      <c r="Z1250" s="1060"/>
    </row>
    <row r="1251" spans="25:26">
      <c r="Y1251" s="1354"/>
      <c r="Z1251" s="1060"/>
    </row>
    <row r="1252" spans="25:26">
      <c r="Y1252" s="1354"/>
      <c r="Z1252" s="1060"/>
    </row>
    <row r="1253" spans="25:26">
      <c r="Y1253" s="1354"/>
      <c r="Z1253" s="1060"/>
    </row>
    <row r="1254" spans="25:26">
      <c r="Y1254" s="1354"/>
      <c r="Z1254" s="1060"/>
    </row>
    <row r="1255" spans="25:26">
      <c r="Y1255" s="1354"/>
      <c r="Z1255" s="1060"/>
    </row>
    <row r="1256" spans="25:26">
      <c r="Y1256" s="1354"/>
      <c r="Z1256" s="1060"/>
    </row>
    <row r="1257" spans="25:26">
      <c r="Y1257" s="1354"/>
      <c r="Z1257" s="1060"/>
    </row>
    <row r="1258" spans="25:26">
      <c r="Y1258" s="1354"/>
      <c r="Z1258" s="1060"/>
    </row>
    <row r="1259" spans="25:26">
      <c r="Y1259" s="1354"/>
      <c r="Z1259" s="1060"/>
    </row>
    <row r="1260" spans="25:26">
      <c r="Y1260" s="1354"/>
      <c r="Z1260" s="1060"/>
    </row>
    <row r="1261" spans="25:26">
      <c r="Y1261" s="1354"/>
      <c r="Z1261" s="1060"/>
    </row>
    <row r="1262" spans="25:26">
      <c r="Y1262" s="1354"/>
      <c r="Z1262" s="1060"/>
    </row>
    <row r="1263" spans="25:26">
      <c r="Y1263" s="1354"/>
      <c r="Z1263" s="1060"/>
    </row>
    <row r="1264" spans="25:26">
      <c r="Y1264" s="1354"/>
      <c r="Z1264" s="1060"/>
    </row>
    <row r="1265" spans="25:26">
      <c r="Y1265" s="1354"/>
      <c r="Z1265" s="1060"/>
    </row>
    <row r="1266" spans="25:26">
      <c r="Y1266" s="1354"/>
      <c r="Z1266" s="1060"/>
    </row>
    <row r="1267" spans="25:26">
      <c r="Y1267" s="1354"/>
      <c r="Z1267" s="1060"/>
    </row>
    <row r="1268" spans="25:26">
      <c r="Y1268" s="1354"/>
      <c r="Z1268" s="1060"/>
    </row>
    <row r="1269" spans="25:26">
      <c r="Y1269" s="1354"/>
      <c r="Z1269" s="1060"/>
    </row>
    <row r="1270" spans="25:26">
      <c r="Y1270" s="1354"/>
      <c r="Z1270" s="1060"/>
    </row>
    <row r="1271" spans="25:26">
      <c r="Y1271" s="1354"/>
      <c r="Z1271" s="1060"/>
    </row>
    <row r="1272" spans="25:26">
      <c r="Y1272" s="1354"/>
      <c r="Z1272" s="1060"/>
    </row>
    <row r="1273" spans="25:26">
      <c r="Y1273" s="1354"/>
      <c r="Z1273" s="1060"/>
    </row>
    <row r="1274" spans="25:26">
      <c r="Y1274" s="1354"/>
      <c r="Z1274" s="1060"/>
    </row>
    <row r="1275" spans="25:26">
      <c r="Y1275" s="1354"/>
      <c r="Z1275" s="1060"/>
    </row>
    <row r="1276" spans="25:26">
      <c r="Y1276" s="1354"/>
      <c r="Z1276" s="1060"/>
    </row>
    <row r="1277" spans="25:26">
      <c r="Y1277" s="1354"/>
      <c r="Z1277" s="1060"/>
    </row>
    <row r="1278" spans="25:26">
      <c r="Y1278" s="1354"/>
      <c r="Z1278" s="1060"/>
    </row>
    <row r="1279" spans="25:26">
      <c r="Y1279" s="1354"/>
      <c r="Z1279" s="1060"/>
    </row>
    <row r="1280" spans="25:26">
      <c r="Y1280" s="1354"/>
      <c r="Z1280" s="1060"/>
    </row>
    <row r="1281" spans="25:26">
      <c r="Y1281" s="1354"/>
      <c r="Z1281" s="1060"/>
    </row>
    <row r="1282" spans="25:26">
      <c r="Y1282" s="1354"/>
      <c r="Z1282" s="1060"/>
    </row>
    <row r="1283" spans="25:26">
      <c r="Y1283" s="1354"/>
      <c r="Z1283" s="1060"/>
    </row>
    <row r="1284" spans="25:26">
      <c r="Y1284" s="1354"/>
      <c r="Z1284" s="1060"/>
    </row>
    <row r="1285" spans="25:26">
      <c r="Y1285" s="1354"/>
      <c r="Z1285" s="1060"/>
    </row>
    <row r="1286" spans="25:26">
      <c r="Y1286" s="1354"/>
      <c r="Z1286" s="1060"/>
    </row>
    <row r="1287" spans="25:26">
      <c r="Y1287" s="1354"/>
      <c r="Z1287" s="1060"/>
    </row>
    <row r="1288" spans="25:26">
      <c r="Y1288" s="1354"/>
      <c r="Z1288" s="1060"/>
    </row>
    <row r="1289" spans="25:26">
      <c r="Y1289" s="1354"/>
      <c r="Z1289" s="1060"/>
    </row>
    <row r="1290" spans="25:26">
      <c r="Y1290" s="1354"/>
      <c r="Z1290" s="1060"/>
    </row>
    <row r="1291" spans="25:26">
      <c r="Y1291" s="1354"/>
      <c r="Z1291" s="1060"/>
    </row>
    <row r="1292" spans="25:26">
      <c r="Y1292" s="1354"/>
      <c r="Z1292" s="1060"/>
    </row>
    <row r="1293" spans="25:26">
      <c r="Y1293" s="1354"/>
      <c r="Z1293" s="1060"/>
    </row>
    <row r="1294" spans="25:26">
      <c r="Y1294" s="1354"/>
      <c r="Z1294" s="1060"/>
    </row>
    <row r="1295" spans="25:26">
      <c r="Y1295" s="1354"/>
      <c r="Z1295" s="1060"/>
    </row>
    <row r="1296" spans="25:26">
      <c r="Y1296" s="1354"/>
      <c r="Z1296" s="1060"/>
    </row>
    <row r="1297" spans="25:26">
      <c r="Y1297" s="1354"/>
      <c r="Z1297" s="1060"/>
    </row>
    <row r="1298" spans="25:26">
      <c r="Y1298" s="1354"/>
      <c r="Z1298" s="1060"/>
    </row>
    <row r="1299" spans="25:26">
      <c r="Y1299" s="1354"/>
      <c r="Z1299" s="1060"/>
    </row>
    <row r="1300" spans="25:26">
      <c r="Y1300" s="1354"/>
      <c r="Z1300" s="1060"/>
    </row>
    <row r="1301" spans="25:26">
      <c r="Y1301" s="1354"/>
      <c r="Z1301" s="1060"/>
    </row>
    <row r="1302" spans="25:26">
      <c r="Y1302" s="1354"/>
      <c r="Z1302" s="1060"/>
    </row>
    <row r="1303" spans="25:26">
      <c r="Y1303" s="1354"/>
      <c r="Z1303" s="1060"/>
    </row>
    <row r="1304" spans="25:26">
      <c r="Y1304" s="1354"/>
      <c r="Z1304" s="1060"/>
    </row>
    <row r="1305" spans="25:26">
      <c r="Y1305" s="1354"/>
      <c r="Z1305" s="1060"/>
    </row>
    <row r="1306" spans="25:26">
      <c r="Y1306" s="1354"/>
      <c r="Z1306" s="1060"/>
    </row>
    <row r="1307" spans="25:26">
      <c r="Y1307" s="1354"/>
      <c r="Z1307" s="1060"/>
    </row>
    <row r="1308" spans="25:26">
      <c r="Y1308" s="1354"/>
      <c r="Z1308" s="1060"/>
    </row>
    <row r="1309" spans="25:26">
      <c r="Y1309" s="1354"/>
      <c r="Z1309" s="1060"/>
    </row>
    <row r="1310" spans="25:26">
      <c r="Y1310" s="1354"/>
      <c r="Z1310" s="1060"/>
    </row>
    <row r="1311" spans="25:26">
      <c r="Y1311" s="1354"/>
      <c r="Z1311" s="1060"/>
    </row>
    <row r="1312" spans="25:26">
      <c r="Y1312" s="1354"/>
      <c r="Z1312" s="1060"/>
    </row>
    <row r="1313" spans="25:26">
      <c r="Y1313" s="1354"/>
      <c r="Z1313" s="1060"/>
    </row>
    <row r="1314" spans="25:26">
      <c r="Y1314" s="1354"/>
      <c r="Z1314" s="1060"/>
    </row>
    <row r="1315" spans="25:26">
      <c r="Y1315" s="1354"/>
      <c r="Z1315" s="1060"/>
    </row>
    <row r="1316" spans="25:26">
      <c r="Y1316" s="1354"/>
      <c r="Z1316" s="1060"/>
    </row>
    <row r="1317" spans="25:26">
      <c r="Y1317" s="1354"/>
      <c r="Z1317" s="1060"/>
    </row>
    <row r="1318" spans="25:26">
      <c r="Y1318" s="1354"/>
      <c r="Z1318" s="1060"/>
    </row>
    <row r="1319" spans="25:26">
      <c r="Y1319" s="1354"/>
      <c r="Z1319" s="1060"/>
    </row>
    <row r="1320" spans="25:26">
      <c r="Y1320" s="1354"/>
      <c r="Z1320" s="1060"/>
    </row>
    <row r="1321" spans="25:26">
      <c r="Y1321" s="1354"/>
      <c r="Z1321" s="1060"/>
    </row>
    <row r="1322" spans="25:26">
      <c r="Y1322" s="1354"/>
      <c r="Z1322" s="1060"/>
    </row>
    <row r="1323" spans="25:26">
      <c r="Y1323" s="1354"/>
      <c r="Z1323" s="1060"/>
    </row>
    <row r="1324" spans="25:26">
      <c r="Y1324" s="1354"/>
      <c r="Z1324" s="1060"/>
    </row>
    <row r="1325" spans="25:26">
      <c r="Y1325" s="1354"/>
      <c r="Z1325" s="1060"/>
    </row>
    <row r="1326" spans="25:26">
      <c r="Y1326" s="1354"/>
      <c r="Z1326" s="1060"/>
    </row>
    <row r="1327" spans="25:26">
      <c r="Y1327" s="1354"/>
      <c r="Z1327" s="1060"/>
    </row>
    <row r="1328" spans="25:26">
      <c r="Y1328" s="1354"/>
      <c r="Z1328" s="1060"/>
    </row>
    <row r="1329" spans="25:26">
      <c r="Y1329" s="1354"/>
      <c r="Z1329" s="1060"/>
    </row>
    <row r="1330" spans="25:26">
      <c r="Y1330" s="1354"/>
      <c r="Z1330" s="1060"/>
    </row>
    <row r="1331" spans="25:26">
      <c r="Y1331" s="1354"/>
      <c r="Z1331" s="1060"/>
    </row>
    <row r="1332" spans="25:26">
      <c r="Y1332" s="1354"/>
      <c r="Z1332" s="1060"/>
    </row>
    <row r="1333" spans="25:26">
      <c r="Y1333" s="1354"/>
      <c r="Z1333" s="1060"/>
    </row>
    <row r="1334" spans="25:26">
      <c r="Y1334" s="1354"/>
      <c r="Z1334" s="1060"/>
    </row>
    <row r="1335" spans="25:26">
      <c r="Y1335" s="1354"/>
      <c r="Z1335" s="1060"/>
    </row>
    <row r="1336" spans="25:26">
      <c r="Y1336" s="1354"/>
      <c r="Z1336" s="1060"/>
    </row>
    <row r="1337" spans="25:26">
      <c r="Y1337" s="1354"/>
      <c r="Z1337" s="1060"/>
    </row>
    <row r="1338" spans="25:26">
      <c r="Y1338" s="1354"/>
      <c r="Z1338" s="1060"/>
    </row>
    <row r="1339" spans="25:26">
      <c r="Y1339" s="1354"/>
      <c r="Z1339" s="1060"/>
    </row>
    <row r="1340" spans="25:26">
      <c r="Y1340" s="1354"/>
      <c r="Z1340" s="1060"/>
    </row>
    <row r="1341" spans="25:26">
      <c r="Y1341" s="1354"/>
      <c r="Z1341" s="1060"/>
    </row>
    <row r="1342" spans="25:26">
      <c r="Y1342" s="1354"/>
      <c r="Z1342" s="1060"/>
    </row>
    <row r="1343" spans="25:26">
      <c r="Y1343" s="1354"/>
      <c r="Z1343" s="1060"/>
    </row>
    <row r="1344" spans="25:26">
      <c r="Y1344" s="1354"/>
      <c r="Z1344" s="1060"/>
    </row>
    <row r="1345" spans="25:26">
      <c r="Y1345" s="1354"/>
      <c r="Z1345" s="1060"/>
    </row>
    <row r="1346" spans="25:26">
      <c r="Y1346" s="1354"/>
      <c r="Z1346" s="1060"/>
    </row>
    <row r="1347" spans="25:26">
      <c r="Y1347" s="1354"/>
      <c r="Z1347" s="1060"/>
    </row>
    <row r="1348" spans="25:26">
      <c r="Y1348" s="1354"/>
      <c r="Z1348" s="1060"/>
    </row>
    <row r="1349" spans="25:26">
      <c r="Y1349" s="1354"/>
      <c r="Z1349" s="1060"/>
    </row>
    <row r="1350" spans="25:26">
      <c r="Y1350" s="1354"/>
      <c r="Z1350" s="1060"/>
    </row>
    <row r="1351" spans="25:26">
      <c r="Y1351" s="1354"/>
      <c r="Z1351" s="1060"/>
    </row>
    <row r="1352" spans="25:26">
      <c r="Y1352" s="1354"/>
      <c r="Z1352" s="1060"/>
    </row>
    <row r="1353" spans="25:26">
      <c r="Y1353" s="1354"/>
      <c r="Z1353" s="1060"/>
    </row>
    <row r="1354" spans="25:26">
      <c r="Y1354" s="1354"/>
      <c r="Z1354" s="1060"/>
    </row>
    <row r="1355" spans="25:26">
      <c r="Y1355" s="1354"/>
      <c r="Z1355" s="1060"/>
    </row>
    <row r="1356" spans="25:26">
      <c r="Y1356" s="1354"/>
      <c r="Z1356" s="1060"/>
    </row>
    <row r="1357" spans="25:26">
      <c r="Y1357" s="1354"/>
      <c r="Z1357" s="1060"/>
    </row>
    <row r="1358" spans="25:26">
      <c r="Y1358" s="1354"/>
      <c r="Z1358" s="1060"/>
    </row>
    <row r="1359" spans="25:26">
      <c r="Y1359" s="1354"/>
      <c r="Z1359" s="1060"/>
    </row>
    <row r="1360" spans="25:26">
      <c r="Y1360" s="1354"/>
      <c r="Z1360" s="1060"/>
    </row>
    <row r="1361" spans="25:26">
      <c r="Y1361" s="1354"/>
      <c r="Z1361" s="1060"/>
    </row>
    <row r="1362" spans="25:26">
      <c r="Y1362" s="1354"/>
      <c r="Z1362" s="1060"/>
    </row>
    <row r="1363" spans="25:26">
      <c r="Y1363" s="1354"/>
      <c r="Z1363" s="1060"/>
    </row>
    <row r="1364" spans="25:26">
      <c r="Y1364" s="1354"/>
      <c r="Z1364" s="1060"/>
    </row>
    <row r="1365" spans="25:26">
      <c r="Y1365" s="1354"/>
      <c r="Z1365" s="1060"/>
    </row>
    <row r="1366" spans="25:26">
      <c r="Y1366" s="1354"/>
      <c r="Z1366" s="1060"/>
    </row>
    <row r="1367" spans="25:26">
      <c r="Y1367" s="1354"/>
      <c r="Z1367" s="1060"/>
    </row>
    <row r="1368" spans="25:26">
      <c r="Y1368" s="1354"/>
      <c r="Z1368" s="1060"/>
    </row>
    <row r="1369" spans="25:26">
      <c r="Y1369" s="1354"/>
      <c r="Z1369" s="1060"/>
    </row>
    <row r="1370" spans="25:26">
      <c r="Y1370" s="1354"/>
      <c r="Z1370" s="1060"/>
    </row>
    <row r="1371" spans="25:26">
      <c r="Y1371" s="1354"/>
      <c r="Z1371" s="1060"/>
    </row>
    <row r="1372" spans="25:26">
      <c r="Y1372" s="1354"/>
      <c r="Z1372" s="1060"/>
    </row>
    <row r="1373" spans="25:26">
      <c r="Y1373" s="1354"/>
      <c r="Z1373" s="1060"/>
    </row>
    <row r="1374" spans="25:26">
      <c r="Y1374" s="1354"/>
      <c r="Z1374" s="1060"/>
    </row>
    <row r="1375" spans="25:26">
      <c r="Y1375" s="1354"/>
      <c r="Z1375" s="1060"/>
    </row>
    <row r="1376" spans="25:26">
      <c r="Y1376" s="1354"/>
      <c r="Z1376" s="1060"/>
    </row>
    <row r="1377" spans="25:26">
      <c r="Y1377" s="1354"/>
      <c r="Z1377" s="1060"/>
    </row>
    <row r="1378" spans="25:26">
      <c r="Y1378" s="1354"/>
      <c r="Z1378" s="1060"/>
    </row>
    <row r="1379" spans="25:26">
      <c r="Y1379" s="1354"/>
      <c r="Z1379" s="1060"/>
    </row>
    <row r="1380" spans="25:26">
      <c r="Y1380" s="1354"/>
      <c r="Z1380" s="1060"/>
    </row>
    <row r="1381" spans="25:26">
      <c r="Y1381" s="1354"/>
      <c r="Z1381" s="1060"/>
    </row>
    <row r="1382" spans="25:26">
      <c r="Y1382" s="1354"/>
      <c r="Z1382" s="1060"/>
    </row>
    <row r="1383" spans="25:26">
      <c r="Y1383" s="1354"/>
      <c r="Z1383" s="1060"/>
    </row>
    <row r="1384" spans="25:26">
      <c r="Y1384" s="1354"/>
      <c r="Z1384" s="1060"/>
    </row>
    <row r="1385" spans="25:26">
      <c r="Y1385" s="1354"/>
      <c r="Z1385" s="1060"/>
    </row>
    <row r="1386" spans="25:26">
      <c r="Y1386" s="1354"/>
      <c r="Z1386" s="1060"/>
    </row>
    <row r="1387" spans="25:26">
      <c r="Y1387" s="1354"/>
      <c r="Z1387" s="1060"/>
    </row>
    <row r="1388" spans="25:26">
      <c r="Y1388" s="1354"/>
      <c r="Z1388" s="1060"/>
    </row>
    <row r="1389" spans="25:26">
      <c r="Y1389" s="1354"/>
      <c r="Z1389" s="1060"/>
    </row>
    <row r="1390" spans="25:26">
      <c r="Y1390" s="1354"/>
      <c r="Z1390" s="1060"/>
    </row>
    <row r="1391" spans="25:26">
      <c r="Y1391" s="1354"/>
      <c r="Z1391" s="1060"/>
    </row>
    <row r="1392" spans="25:26">
      <c r="Y1392" s="1354"/>
      <c r="Z1392" s="1060"/>
    </row>
    <row r="1393" spans="25:26">
      <c r="Y1393" s="1354"/>
      <c r="Z1393" s="1060"/>
    </row>
    <row r="1394" spans="25:26">
      <c r="Y1394" s="1354"/>
      <c r="Z1394" s="1060"/>
    </row>
    <row r="1395" spans="25:26">
      <c r="Y1395" s="1354"/>
      <c r="Z1395" s="1060"/>
    </row>
    <row r="1396" spans="25:26">
      <c r="Y1396" s="1354"/>
      <c r="Z1396" s="1060"/>
    </row>
    <row r="1397" spans="25:26">
      <c r="Y1397" s="1354"/>
      <c r="Z1397" s="1060"/>
    </row>
    <row r="1398" spans="25:26">
      <c r="Y1398" s="1354"/>
      <c r="Z1398" s="1060"/>
    </row>
    <row r="1399" spans="25:26">
      <c r="Y1399" s="1354"/>
      <c r="Z1399" s="1060"/>
    </row>
    <row r="1400" spans="25:26">
      <c r="Y1400" s="1354"/>
      <c r="Z1400" s="1060"/>
    </row>
    <row r="1401" spans="25:26">
      <c r="Y1401" s="1354"/>
      <c r="Z1401" s="1060"/>
    </row>
    <row r="1402" spans="25:26">
      <c r="Y1402" s="1354"/>
      <c r="Z1402" s="1060"/>
    </row>
    <row r="1403" spans="25:26">
      <c r="Y1403" s="1354"/>
      <c r="Z1403" s="1060"/>
    </row>
    <row r="1404" spans="25:26">
      <c r="Y1404" s="1354"/>
      <c r="Z1404" s="1060"/>
    </row>
    <row r="1405" spans="25:26">
      <c r="Y1405" s="1354"/>
      <c r="Z1405" s="1060"/>
    </row>
    <row r="1406" spans="25:26">
      <c r="Y1406" s="1354"/>
      <c r="Z1406" s="1060"/>
    </row>
    <row r="1407" spans="25:26">
      <c r="Y1407" s="1354"/>
      <c r="Z1407" s="1060"/>
    </row>
    <row r="1408" spans="25:26">
      <c r="Y1408" s="1354"/>
      <c r="Z1408" s="1060"/>
    </row>
    <row r="1409" spans="25:26">
      <c r="Y1409" s="1354"/>
      <c r="Z1409" s="1060"/>
    </row>
    <row r="1410" spans="25:26">
      <c r="Y1410" s="1354"/>
      <c r="Z1410" s="1060"/>
    </row>
    <row r="1411" spans="25:26">
      <c r="Y1411" s="1354"/>
      <c r="Z1411" s="1060"/>
    </row>
    <row r="1412" spans="25:26">
      <c r="Y1412" s="1354"/>
      <c r="Z1412" s="1060"/>
    </row>
    <row r="1413" spans="25:26">
      <c r="Y1413" s="1354"/>
      <c r="Z1413" s="1060"/>
    </row>
    <row r="1414" spans="25:26">
      <c r="Y1414" s="1354"/>
      <c r="Z1414" s="1060"/>
    </row>
    <row r="1415" spans="25:26">
      <c r="Y1415" s="1354"/>
      <c r="Z1415" s="1060"/>
    </row>
    <row r="1416" spans="25:26">
      <c r="Y1416" s="1354"/>
      <c r="Z1416" s="1060"/>
    </row>
    <row r="1417" spans="25:26">
      <c r="Y1417" s="1354"/>
      <c r="Z1417" s="1060"/>
    </row>
    <row r="1418" spans="25:26">
      <c r="Y1418" s="1354"/>
      <c r="Z1418" s="1060"/>
    </row>
    <row r="1419" spans="25:26">
      <c r="Y1419" s="1354"/>
      <c r="Z1419" s="1060"/>
    </row>
    <row r="1420" spans="25:26">
      <c r="Y1420" s="1354"/>
      <c r="Z1420" s="1060"/>
    </row>
    <row r="1421" spans="25:26">
      <c r="Y1421" s="1354"/>
      <c r="Z1421" s="1060"/>
    </row>
    <row r="1422" spans="25:26">
      <c r="Y1422" s="1354"/>
      <c r="Z1422" s="1060"/>
    </row>
    <row r="1423" spans="25:26">
      <c r="Y1423" s="1354"/>
      <c r="Z1423" s="1060"/>
    </row>
    <row r="1424" spans="25:26">
      <c r="Y1424" s="1354"/>
      <c r="Z1424" s="1060"/>
    </row>
    <row r="1425" spans="25:26">
      <c r="Y1425" s="1354"/>
      <c r="Z1425" s="1060"/>
    </row>
    <row r="1426" spans="25:26">
      <c r="Y1426" s="1354"/>
      <c r="Z1426" s="1060"/>
    </row>
    <row r="1427" spans="25:26">
      <c r="Y1427" s="1354"/>
      <c r="Z1427" s="1060"/>
    </row>
    <row r="1428" spans="25:26">
      <c r="Y1428" s="1354"/>
      <c r="Z1428" s="1060"/>
    </row>
    <row r="1429" spans="25:26">
      <c r="Y1429" s="1354"/>
      <c r="Z1429" s="1060"/>
    </row>
    <row r="1430" spans="25:26">
      <c r="Y1430" s="1354"/>
      <c r="Z1430" s="1060"/>
    </row>
    <row r="1431" spans="25:26">
      <c r="Y1431" s="1354"/>
      <c r="Z1431" s="1060"/>
    </row>
    <row r="1432" spans="25:26">
      <c r="Y1432" s="1354"/>
      <c r="Z1432" s="1060"/>
    </row>
    <row r="1433" spans="25:26">
      <c r="Y1433" s="1354"/>
      <c r="Z1433" s="1060"/>
    </row>
    <row r="1434" spans="25:26">
      <c r="Y1434" s="1354"/>
      <c r="Z1434" s="1060"/>
    </row>
    <row r="1435" spans="25:26">
      <c r="Y1435" s="1354"/>
      <c r="Z1435" s="1060"/>
    </row>
    <row r="1436" spans="25:26">
      <c r="Y1436" s="1354"/>
      <c r="Z1436" s="1060"/>
    </row>
    <row r="1437" spans="25:26">
      <c r="Y1437" s="1354"/>
      <c r="Z1437" s="1060"/>
    </row>
    <row r="1438" spans="25:26">
      <c r="Y1438" s="1354"/>
      <c r="Z1438" s="1060"/>
    </row>
    <row r="1439" spans="25:26">
      <c r="Y1439" s="1354"/>
      <c r="Z1439" s="1060"/>
    </row>
    <row r="1440" spans="25:26">
      <c r="Y1440" s="1354"/>
      <c r="Z1440" s="1060"/>
    </row>
    <row r="1441" spans="25:26">
      <c r="Y1441" s="1354"/>
      <c r="Z1441" s="1060"/>
    </row>
    <row r="1442" spans="25:26">
      <c r="Y1442" s="1354"/>
      <c r="Z1442" s="1060"/>
    </row>
    <row r="1443" spans="25:26">
      <c r="Y1443" s="1354"/>
      <c r="Z1443" s="1060"/>
    </row>
    <row r="1444" spans="25:26">
      <c r="Y1444" s="1354"/>
      <c r="Z1444" s="1060"/>
    </row>
    <row r="1445" spans="25:26">
      <c r="Y1445" s="1354"/>
      <c r="Z1445" s="1060"/>
    </row>
    <row r="1446" spans="25:26">
      <c r="Y1446" s="1354"/>
      <c r="Z1446" s="1060"/>
    </row>
    <row r="1447" spans="25:26">
      <c r="Y1447" s="1354"/>
      <c r="Z1447" s="1060"/>
    </row>
    <row r="1448" spans="25:26">
      <c r="Y1448" s="1354"/>
      <c r="Z1448" s="1060"/>
    </row>
    <row r="1449" spans="25:26">
      <c r="Y1449" s="1354"/>
      <c r="Z1449" s="1060"/>
    </row>
    <row r="1450" spans="25:26">
      <c r="Y1450" s="1354"/>
      <c r="Z1450" s="1060"/>
    </row>
    <row r="1451" spans="25:26">
      <c r="Y1451" s="1354"/>
      <c r="Z1451" s="1060"/>
    </row>
    <row r="1452" spans="25:26">
      <c r="Y1452" s="1354"/>
      <c r="Z1452" s="1060"/>
    </row>
    <row r="1453" spans="25:26">
      <c r="Y1453" s="1354"/>
      <c r="Z1453" s="1060"/>
    </row>
    <row r="1454" spans="25:26">
      <c r="Y1454" s="1354"/>
      <c r="Z1454" s="1060"/>
    </row>
    <row r="1455" spans="25:26">
      <c r="Y1455" s="1354"/>
      <c r="Z1455" s="1060"/>
    </row>
    <row r="1456" spans="25:26">
      <c r="Y1456" s="1354"/>
      <c r="Z1456" s="1060"/>
    </row>
    <row r="1457" spans="25:26">
      <c r="Y1457" s="1354"/>
      <c r="Z1457" s="1060"/>
    </row>
    <row r="1458" spans="25:26">
      <c r="Y1458" s="1354"/>
      <c r="Z1458" s="1060"/>
    </row>
    <row r="1459" spans="25:26">
      <c r="Y1459" s="1354"/>
      <c r="Z1459" s="1060"/>
    </row>
    <row r="1460" spans="25:26">
      <c r="Y1460" s="1354"/>
      <c r="Z1460" s="1060"/>
    </row>
    <row r="1461" spans="25:26">
      <c r="Y1461" s="1354"/>
      <c r="Z1461" s="1060"/>
    </row>
    <row r="1462" spans="25:26">
      <c r="Y1462" s="1354"/>
      <c r="Z1462" s="1060"/>
    </row>
    <row r="1463" spans="25:26">
      <c r="Y1463" s="1354"/>
      <c r="Z1463" s="1060"/>
    </row>
    <row r="1464" spans="25:26">
      <c r="Y1464" s="1354"/>
      <c r="Z1464" s="1060"/>
    </row>
    <row r="1465" spans="25:26">
      <c r="Y1465" s="1354"/>
      <c r="Z1465" s="1060"/>
    </row>
    <row r="1466" spans="25:26">
      <c r="Y1466" s="1354"/>
      <c r="Z1466" s="1060"/>
    </row>
    <row r="1467" spans="25:26">
      <c r="Y1467" s="1354"/>
      <c r="Z1467" s="1060"/>
    </row>
    <row r="1468" spans="25:26">
      <c r="Y1468" s="1354"/>
      <c r="Z1468" s="1060"/>
    </row>
    <row r="1469" spans="25:26">
      <c r="Y1469" s="1354"/>
      <c r="Z1469" s="1060"/>
    </row>
    <row r="1470" spans="25:26">
      <c r="Y1470" s="1354"/>
      <c r="Z1470" s="1060"/>
    </row>
    <row r="1471" spans="25:26">
      <c r="Y1471" s="1354"/>
      <c r="Z1471" s="1060"/>
    </row>
    <row r="1472" spans="25:26">
      <c r="Y1472" s="1354"/>
      <c r="Z1472" s="1060"/>
    </row>
    <row r="1473" spans="25:26">
      <c r="Y1473" s="1354"/>
      <c r="Z1473" s="1060"/>
    </row>
    <row r="1474" spans="25:26">
      <c r="Y1474" s="1354"/>
      <c r="Z1474" s="1060"/>
    </row>
    <row r="1475" spans="25:26">
      <c r="Y1475" s="1354"/>
      <c r="Z1475" s="1060"/>
    </row>
    <row r="1476" spans="25:26">
      <c r="Y1476" s="1354"/>
      <c r="Z1476" s="1060"/>
    </row>
    <row r="1477" spans="25:26">
      <c r="Y1477" s="1354"/>
      <c r="Z1477" s="1060"/>
    </row>
    <row r="1478" spans="25:26">
      <c r="Y1478" s="1354"/>
      <c r="Z1478" s="1060"/>
    </row>
    <row r="1479" spans="25:26">
      <c r="Y1479" s="1354"/>
      <c r="Z1479" s="1060"/>
    </row>
    <row r="1480" spans="25:26">
      <c r="Y1480" s="1354"/>
      <c r="Z1480" s="1060"/>
    </row>
    <row r="1481" spans="25:26">
      <c r="Y1481" s="1354"/>
      <c r="Z1481" s="1060"/>
    </row>
    <row r="1482" spans="25:26">
      <c r="Y1482" s="1354"/>
      <c r="Z1482" s="1060"/>
    </row>
    <row r="1483" spans="25:26">
      <c r="Y1483" s="1354"/>
      <c r="Z1483" s="1060"/>
    </row>
    <row r="1484" spans="25:26">
      <c r="Y1484" s="1354"/>
      <c r="Z1484" s="1060"/>
    </row>
    <row r="1485" spans="25:26">
      <c r="Y1485" s="1354"/>
      <c r="Z1485" s="1060"/>
    </row>
    <row r="1486" spans="25:26">
      <c r="Y1486" s="1354"/>
      <c r="Z1486" s="1060"/>
    </row>
    <row r="1487" spans="25:26">
      <c r="Y1487" s="1354"/>
      <c r="Z1487" s="1060"/>
    </row>
    <row r="1488" spans="25:26">
      <c r="Y1488" s="1354"/>
      <c r="Z1488" s="1060"/>
    </row>
    <row r="1489" spans="25:26">
      <c r="Y1489" s="1354"/>
      <c r="Z1489" s="1060"/>
    </row>
    <row r="1490" spans="25:26">
      <c r="Y1490" s="1354"/>
      <c r="Z1490" s="1060"/>
    </row>
    <row r="1491" spans="25:26">
      <c r="Y1491" s="1354"/>
      <c r="Z1491" s="1060"/>
    </row>
    <row r="1492" spans="25:26">
      <c r="Y1492" s="1354"/>
      <c r="Z1492" s="1060"/>
    </row>
    <row r="1493" spans="25:26">
      <c r="Y1493" s="1354"/>
      <c r="Z1493" s="1060"/>
    </row>
    <row r="1494" spans="25:26">
      <c r="Y1494" s="1354"/>
      <c r="Z1494" s="1060"/>
    </row>
    <row r="1495" spans="25:26">
      <c r="Y1495" s="1354"/>
      <c r="Z1495" s="1060"/>
    </row>
    <row r="1496" spans="25:26">
      <c r="Y1496" s="1354"/>
      <c r="Z1496" s="1060"/>
    </row>
    <row r="1497" spans="25:26">
      <c r="Y1497" s="1354"/>
      <c r="Z1497" s="1060"/>
    </row>
    <row r="1498" spans="25:26">
      <c r="Y1498" s="1354"/>
      <c r="Z1498" s="1060"/>
    </row>
    <row r="1499" spans="25:26">
      <c r="Y1499" s="1354"/>
      <c r="Z1499" s="1060"/>
    </row>
    <row r="1500" spans="25:26">
      <c r="Y1500" s="1354"/>
      <c r="Z1500" s="1060"/>
    </row>
    <row r="1501" spans="25:26">
      <c r="Y1501" s="1354"/>
      <c r="Z1501" s="1060"/>
    </row>
    <row r="1502" spans="25:26">
      <c r="Y1502" s="1354"/>
      <c r="Z1502" s="1060"/>
    </row>
    <row r="1503" spans="25:26">
      <c r="Y1503" s="1354"/>
      <c r="Z1503" s="1060"/>
    </row>
    <row r="1504" spans="25:26">
      <c r="Y1504" s="1354"/>
      <c r="Z1504" s="1060"/>
    </row>
    <row r="1505" spans="25:26">
      <c r="Y1505" s="1354"/>
      <c r="Z1505" s="1060"/>
    </row>
    <row r="1506" spans="25:26">
      <c r="Y1506" s="1354"/>
      <c r="Z1506" s="1060"/>
    </row>
    <row r="1507" spans="25:26">
      <c r="Y1507" s="1354"/>
      <c r="Z1507" s="1060"/>
    </row>
    <row r="1508" spans="25:26">
      <c r="Y1508" s="1354"/>
      <c r="Z1508" s="1060"/>
    </row>
    <row r="1509" spans="25:26">
      <c r="Y1509" s="1354"/>
      <c r="Z1509" s="1060"/>
    </row>
    <row r="1510" spans="25:26">
      <c r="Y1510" s="1354"/>
      <c r="Z1510" s="1060"/>
    </row>
    <row r="1511" spans="25:26">
      <c r="Y1511" s="1354"/>
      <c r="Z1511" s="1060"/>
    </row>
    <row r="1512" spans="25:26">
      <c r="Y1512" s="1354"/>
      <c r="Z1512" s="1060"/>
    </row>
    <row r="1513" spans="25:26">
      <c r="Y1513" s="1354"/>
      <c r="Z1513" s="1060"/>
    </row>
    <row r="1514" spans="25:26">
      <c r="Y1514" s="1354"/>
      <c r="Z1514" s="1060"/>
    </row>
    <row r="1515" spans="25:26">
      <c r="Y1515" s="1354"/>
      <c r="Z1515" s="1060"/>
    </row>
    <row r="1516" spans="25:26">
      <c r="Y1516" s="1354"/>
      <c r="Z1516" s="1060"/>
    </row>
    <row r="1517" spans="25:26">
      <c r="Y1517" s="1354"/>
      <c r="Z1517" s="1060"/>
    </row>
    <row r="1518" spans="25:26">
      <c r="Y1518" s="1354"/>
      <c r="Z1518" s="1060"/>
    </row>
    <row r="1519" spans="25:26">
      <c r="Y1519" s="1354"/>
      <c r="Z1519" s="1060"/>
    </row>
    <row r="1520" spans="25:26">
      <c r="Y1520" s="1354"/>
      <c r="Z1520" s="1060"/>
    </row>
    <row r="1521" spans="25:26">
      <c r="Y1521" s="1354"/>
      <c r="Z1521" s="1060"/>
    </row>
    <row r="1522" spans="25:26">
      <c r="Y1522" s="1354"/>
      <c r="Z1522" s="1060"/>
    </row>
    <row r="1523" spans="25:26">
      <c r="Y1523" s="1354"/>
      <c r="Z1523" s="1060"/>
    </row>
    <row r="1524" spans="25:26">
      <c r="Y1524" s="1354"/>
      <c r="Z1524" s="1060"/>
    </row>
    <row r="1525" spans="25:26">
      <c r="Y1525" s="1354"/>
      <c r="Z1525" s="1060"/>
    </row>
    <row r="1526" spans="25:26">
      <c r="Y1526" s="1354"/>
      <c r="Z1526" s="1060"/>
    </row>
    <row r="1527" spans="25:26">
      <c r="Y1527" s="1354"/>
      <c r="Z1527" s="1060"/>
    </row>
    <row r="1528" spans="25:26">
      <c r="Y1528" s="1354"/>
      <c r="Z1528" s="1060"/>
    </row>
    <row r="1529" spans="25:26">
      <c r="Y1529" s="1354"/>
      <c r="Z1529" s="1060"/>
    </row>
    <row r="1530" spans="25:26">
      <c r="Y1530" s="1354"/>
      <c r="Z1530" s="1060"/>
    </row>
    <row r="1531" spans="25:26">
      <c r="Y1531" s="1354"/>
      <c r="Z1531" s="1060"/>
    </row>
    <row r="1532" spans="25:26">
      <c r="Y1532" s="1354"/>
      <c r="Z1532" s="1060"/>
    </row>
    <row r="1533" spans="25:26">
      <c r="Y1533" s="1354"/>
      <c r="Z1533" s="1060"/>
    </row>
    <row r="1534" spans="25:26">
      <c r="Y1534" s="1354"/>
      <c r="Z1534" s="1060"/>
    </row>
    <row r="1535" spans="25:26">
      <c r="Y1535" s="1354"/>
      <c r="Z1535" s="1060"/>
    </row>
    <row r="1536" spans="25:26">
      <c r="Y1536" s="1354"/>
      <c r="Z1536" s="1060"/>
    </row>
    <row r="1537" spans="25:26">
      <c r="Y1537" s="1354"/>
      <c r="Z1537" s="1060"/>
    </row>
    <row r="1538" spans="25:26">
      <c r="Y1538" s="1354"/>
      <c r="Z1538" s="1060"/>
    </row>
    <row r="1539" spans="25:26">
      <c r="Y1539" s="1354"/>
      <c r="Z1539" s="1060"/>
    </row>
    <row r="1540" spans="25:26">
      <c r="Y1540" s="1354"/>
      <c r="Z1540" s="1060"/>
    </row>
    <row r="1541" spans="25:26">
      <c r="Y1541" s="1354"/>
      <c r="Z1541" s="1060"/>
    </row>
    <row r="1542" spans="25:26">
      <c r="Y1542" s="1354"/>
      <c r="Z1542" s="1060"/>
    </row>
    <row r="1543" spans="25:26">
      <c r="Y1543" s="1354"/>
      <c r="Z1543" s="1060"/>
    </row>
    <row r="1544" spans="25:26">
      <c r="Y1544" s="1354"/>
      <c r="Z1544" s="1060"/>
    </row>
    <row r="1545" spans="25:26">
      <c r="Y1545" s="1354"/>
      <c r="Z1545" s="1060"/>
    </row>
    <row r="1546" spans="25:26">
      <c r="Y1546" s="1354"/>
      <c r="Z1546" s="1060"/>
    </row>
    <row r="1547" spans="25:26">
      <c r="Y1547" s="1354"/>
      <c r="Z1547" s="1060"/>
    </row>
    <row r="1548" spans="25:26">
      <c r="Y1548" s="1354"/>
      <c r="Z1548" s="1060"/>
    </row>
    <row r="1549" spans="25:26">
      <c r="Y1549" s="1354"/>
      <c r="Z1549" s="1060"/>
    </row>
    <row r="1550" spans="25:26">
      <c r="Y1550" s="1354"/>
      <c r="Z1550" s="1060"/>
    </row>
    <row r="1551" spans="25:26">
      <c r="Y1551" s="1354"/>
      <c r="Z1551" s="1060"/>
    </row>
    <row r="1552" spans="25:26">
      <c r="Y1552" s="1354"/>
      <c r="Z1552" s="1060"/>
    </row>
    <row r="1553" spans="25:26">
      <c r="Y1553" s="1354"/>
      <c r="Z1553" s="1060"/>
    </row>
    <row r="1554" spans="25:26">
      <c r="Y1554" s="1354"/>
      <c r="Z1554" s="1060"/>
    </row>
    <row r="1555" spans="25:26">
      <c r="Y1555" s="1354"/>
      <c r="Z1555" s="1060"/>
    </row>
    <row r="1556" spans="25:26">
      <c r="Y1556" s="1354"/>
      <c r="Z1556" s="1060"/>
    </row>
    <row r="1557" spans="25:26">
      <c r="Y1557" s="1354"/>
      <c r="Z1557" s="1060"/>
    </row>
    <row r="1558" spans="25:26">
      <c r="Y1558" s="1354"/>
      <c r="Z1558" s="1060"/>
    </row>
    <row r="1559" spans="25:26">
      <c r="Y1559" s="1354"/>
      <c r="Z1559" s="1060"/>
    </row>
    <row r="1560" spans="25:26">
      <c r="Y1560" s="1354"/>
      <c r="Z1560" s="1060"/>
    </row>
    <row r="1561" spans="25:26">
      <c r="Y1561" s="1354"/>
      <c r="Z1561" s="1060"/>
    </row>
    <row r="1562" spans="25:26">
      <c r="Y1562" s="1354"/>
      <c r="Z1562" s="1060"/>
    </row>
    <row r="1563" spans="25:26">
      <c r="Y1563" s="1354"/>
      <c r="Z1563" s="1060"/>
    </row>
    <row r="1564" spans="25:26">
      <c r="Y1564" s="1354"/>
      <c r="Z1564" s="1060"/>
    </row>
    <row r="1565" spans="25:26">
      <c r="Y1565" s="1354"/>
      <c r="Z1565" s="1060"/>
    </row>
    <row r="1566" spans="25:26">
      <c r="Y1566" s="1354"/>
      <c r="Z1566" s="1060"/>
    </row>
    <row r="1567" spans="25:26">
      <c r="Y1567" s="1354"/>
      <c r="Z1567" s="1060"/>
    </row>
    <row r="1568" spans="25:26">
      <c r="Y1568" s="1354"/>
      <c r="Z1568" s="1060"/>
    </row>
    <row r="1569" spans="25:26">
      <c r="Y1569" s="1354"/>
      <c r="Z1569" s="1060"/>
    </row>
    <row r="1570" spans="25:26">
      <c r="Y1570" s="1354"/>
      <c r="Z1570" s="1060"/>
    </row>
    <row r="1571" spans="25:26">
      <c r="Y1571" s="1354"/>
      <c r="Z1571" s="1060"/>
    </row>
    <row r="1572" spans="25:26">
      <c r="Y1572" s="1354"/>
      <c r="Z1572" s="1060"/>
    </row>
    <row r="1573" spans="25:26">
      <c r="Y1573" s="1354"/>
      <c r="Z1573" s="1060"/>
    </row>
    <row r="1574" spans="25:26">
      <c r="Y1574" s="1354"/>
      <c r="Z1574" s="1060"/>
    </row>
    <row r="1575" spans="25:26">
      <c r="Y1575" s="1354"/>
      <c r="Z1575" s="1060"/>
    </row>
    <row r="1576" spans="25:26">
      <c r="Y1576" s="1354"/>
      <c r="Z1576" s="1060"/>
    </row>
    <row r="1577" spans="25:26">
      <c r="Y1577" s="1354"/>
      <c r="Z1577" s="1060"/>
    </row>
    <row r="1578" spans="25:26">
      <c r="Y1578" s="1354"/>
      <c r="Z1578" s="1060"/>
    </row>
    <row r="1579" spans="25:26">
      <c r="Y1579" s="1354"/>
      <c r="Z1579" s="1060"/>
    </row>
    <row r="1580" spans="25:26">
      <c r="Y1580" s="1354"/>
      <c r="Z1580" s="1060"/>
    </row>
    <row r="1581" spans="25:26">
      <c r="Y1581" s="1354"/>
      <c r="Z1581" s="1060"/>
    </row>
    <row r="1582" spans="25:26">
      <c r="Y1582" s="1354"/>
      <c r="Z1582" s="1060"/>
    </row>
    <row r="1583" spans="25:26">
      <c r="Y1583" s="1354"/>
      <c r="Z1583" s="1060"/>
    </row>
    <row r="1584" spans="25:26">
      <c r="Y1584" s="1354"/>
      <c r="Z1584" s="1060"/>
    </row>
    <row r="1585" spans="25:26">
      <c r="Y1585" s="1354"/>
      <c r="Z1585" s="1060"/>
    </row>
    <row r="1586" spans="25:26">
      <c r="Y1586" s="1354"/>
      <c r="Z1586" s="1060"/>
    </row>
    <row r="1587" spans="25:26">
      <c r="Y1587" s="1354"/>
      <c r="Z1587" s="1060"/>
    </row>
    <row r="1588" spans="25:26">
      <c r="Y1588" s="1354"/>
      <c r="Z1588" s="1060"/>
    </row>
    <row r="1589" spans="25:26">
      <c r="Y1589" s="1354"/>
      <c r="Z1589" s="1060"/>
    </row>
    <row r="1590" spans="25:26">
      <c r="Y1590" s="1354"/>
      <c r="Z1590" s="1060"/>
    </row>
    <row r="1591" spans="25:26">
      <c r="Y1591" s="1354"/>
      <c r="Z1591" s="1060"/>
    </row>
    <row r="1592" spans="25:26">
      <c r="Y1592" s="1354"/>
      <c r="Z1592" s="1060"/>
    </row>
    <row r="1593" spans="25:26">
      <c r="Y1593" s="1354"/>
      <c r="Z1593" s="1060"/>
    </row>
    <row r="1594" spans="25:26">
      <c r="Y1594" s="1354"/>
      <c r="Z1594" s="1060"/>
    </row>
    <row r="1595" spans="25:26">
      <c r="Y1595" s="1354"/>
      <c r="Z1595" s="1060"/>
    </row>
    <row r="1596" spans="25:26">
      <c r="Y1596" s="1354"/>
      <c r="Z1596" s="1060"/>
    </row>
    <row r="1597" spans="25:26">
      <c r="Y1597" s="1354"/>
      <c r="Z1597" s="1060"/>
    </row>
    <row r="1598" spans="25:26">
      <c r="Y1598" s="1354"/>
      <c r="Z1598" s="1060"/>
    </row>
    <row r="1599" spans="25:26">
      <c r="Y1599" s="1354"/>
      <c r="Z1599" s="1060"/>
    </row>
    <row r="1600" spans="25:26">
      <c r="Y1600" s="1354"/>
      <c r="Z1600" s="1060"/>
    </row>
    <row r="1601" spans="25:26">
      <c r="Y1601" s="1354"/>
      <c r="Z1601" s="1060"/>
    </row>
    <row r="1602" spans="25:26">
      <c r="Y1602" s="1354"/>
      <c r="Z1602" s="1060"/>
    </row>
    <row r="1603" spans="25:26">
      <c r="Y1603" s="1354"/>
      <c r="Z1603" s="1060"/>
    </row>
    <row r="1604" spans="25:26">
      <c r="Y1604" s="1354"/>
      <c r="Z1604" s="1060"/>
    </row>
    <row r="1605" spans="25:26">
      <c r="Y1605" s="1354"/>
      <c r="Z1605" s="1060"/>
    </row>
    <row r="1606" spans="25:26">
      <c r="Y1606" s="1354"/>
      <c r="Z1606" s="1060"/>
    </row>
    <row r="1607" spans="25:26">
      <c r="Y1607" s="1354"/>
      <c r="Z1607" s="1060"/>
    </row>
    <row r="1608" spans="25:26">
      <c r="Y1608" s="1354"/>
      <c r="Z1608" s="1060"/>
    </row>
    <row r="1609" spans="25:26">
      <c r="Y1609" s="1354"/>
      <c r="Z1609" s="1060"/>
    </row>
    <row r="1610" spans="25:26">
      <c r="Y1610" s="1354"/>
      <c r="Z1610" s="1060"/>
    </row>
    <row r="1611" spans="25:26">
      <c r="Y1611" s="1354"/>
      <c r="Z1611" s="1060"/>
    </row>
    <row r="1612" spans="25:26">
      <c r="Y1612" s="1354"/>
      <c r="Z1612" s="1060"/>
    </row>
    <row r="1613" spans="25:26">
      <c r="Y1613" s="1354"/>
      <c r="Z1613" s="1060"/>
    </row>
    <row r="1614" spans="25:26">
      <c r="Y1614" s="1354"/>
      <c r="Z1614" s="1060"/>
    </row>
    <row r="1615" spans="25:26">
      <c r="Y1615" s="1354"/>
      <c r="Z1615" s="1060"/>
    </row>
    <row r="1616" spans="25:26">
      <c r="Y1616" s="1354"/>
      <c r="Z1616" s="1060"/>
    </row>
    <row r="1617" spans="25:26">
      <c r="Y1617" s="1354"/>
      <c r="Z1617" s="1060"/>
    </row>
    <row r="1618" spans="25:26">
      <c r="Y1618" s="1354"/>
      <c r="Z1618" s="1060"/>
    </row>
    <row r="1619" spans="25:26">
      <c r="Y1619" s="1354"/>
      <c r="Z1619" s="1060"/>
    </row>
    <row r="1620" spans="25:26">
      <c r="Y1620" s="1354"/>
      <c r="Z1620" s="1060"/>
    </row>
    <row r="1621" spans="25:26">
      <c r="Y1621" s="1354"/>
      <c r="Z1621" s="1060"/>
    </row>
    <row r="1622" spans="25:26">
      <c r="Y1622" s="1354"/>
      <c r="Z1622" s="1060"/>
    </row>
    <row r="1623" spans="25:26">
      <c r="Y1623" s="1354"/>
      <c r="Z1623" s="1060"/>
    </row>
    <row r="1624" spans="25:26">
      <c r="Y1624" s="1354"/>
      <c r="Z1624" s="1060"/>
    </row>
    <row r="1625" spans="25:26">
      <c r="Y1625" s="1354"/>
      <c r="Z1625" s="1060"/>
    </row>
    <row r="1626" spans="25:26">
      <c r="Y1626" s="1354"/>
      <c r="Z1626" s="1060"/>
    </row>
    <row r="1627" spans="25:26">
      <c r="Y1627" s="1354"/>
      <c r="Z1627" s="1060"/>
    </row>
    <row r="1628" spans="25:26">
      <c r="Y1628" s="1354"/>
      <c r="Z1628" s="1060"/>
    </row>
    <row r="1629" spans="25:26">
      <c r="Y1629" s="1354"/>
      <c r="Z1629" s="1060"/>
    </row>
    <row r="1630" spans="25:26">
      <c r="Y1630" s="1354"/>
      <c r="Z1630" s="1060"/>
    </row>
    <row r="1631" spans="25:26">
      <c r="Y1631" s="1354"/>
      <c r="Z1631" s="1060"/>
    </row>
    <row r="1632" spans="25:26">
      <c r="Y1632" s="1354"/>
      <c r="Z1632" s="1060"/>
    </row>
    <row r="1633" spans="25:26">
      <c r="Y1633" s="1354"/>
      <c r="Z1633" s="1060"/>
    </row>
    <row r="1634" spans="25:26">
      <c r="Y1634" s="1354"/>
      <c r="Z1634" s="1060"/>
    </row>
    <row r="1635" spans="25:26">
      <c r="Y1635" s="1354"/>
      <c r="Z1635" s="1060"/>
    </row>
    <row r="1636" spans="25:26">
      <c r="Y1636" s="1354"/>
      <c r="Z1636" s="1060"/>
    </row>
    <row r="1637" spans="25:26">
      <c r="Y1637" s="1354"/>
      <c r="Z1637" s="1060"/>
    </row>
    <row r="1638" spans="25:26">
      <c r="Y1638" s="1354"/>
      <c r="Z1638" s="1060"/>
    </row>
    <row r="1639" spans="25:26">
      <c r="Y1639" s="1354"/>
      <c r="Z1639" s="1060"/>
    </row>
    <row r="1640" spans="25:26">
      <c r="Y1640" s="1354"/>
      <c r="Z1640" s="1060"/>
    </row>
    <row r="1641" spans="25:26">
      <c r="Y1641" s="1354"/>
      <c r="Z1641" s="1060"/>
    </row>
    <row r="1642" spans="25:26">
      <c r="Y1642" s="1354"/>
      <c r="Z1642" s="1060"/>
    </row>
    <row r="1643" spans="25:26">
      <c r="Y1643" s="1354"/>
      <c r="Z1643" s="1060"/>
    </row>
    <row r="1644" spans="25:26">
      <c r="Y1644" s="1354"/>
      <c r="Z1644" s="1060"/>
    </row>
    <row r="1645" spans="25:26">
      <c r="Y1645" s="1354"/>
      <c r="Z1645" s="1060"/>
    </row>
    <row r="1646" spans="25:26">
      <c r="Y1646" s="1354"/>
      <c r="Z1646" s="1060"/>
    </row>
    <row r="1647" spans="25:26">
      <c r="Y1647" s="1354"/>
      <c r="Z1647" s="1060"/>
    </row>
    <row r="1648" spans="25:26">
      <c r="Y1648" s="1354"/>
      <c r="Z1648" s="1060"/>
    </row>
    <row r="1649" spans="25:26">
      <c r="Y1649" s="1354"/>
      <c r="Z1649" s="1060"/>
    </row>
    <row r="1650" spans="25:26">
      <c r="Y1650" s="1354"/>
      <c r="Z1650" s="1060"/>
    </row>
    <row r="1651" spans="25:26">
      <c r="Y1651" s="1354"/>
      <c r="Z1651" s="1060"/>
    </row>
    <row r="1652" spans="25:26">
      <c r="Y1652" s="1354"/>
      <c r="Z1652" s="1060"/>
    </row>
    <row r="1653" spans="25:26">
      <c r="Y1653" s="1354"/>
      <c r="Z1653" s="1060"/>
    </row>
    <row r="1654" spans="25:26">
      <c r="Y1654" s="1354"/>
      <c r="Z1654" s="1060"/>
    </row>
    <row r="1655" spans="25:26">
      <c r="Y1655" s="1354"/>
      <c r="Z1655" s="1060"/>
    </row>
    <row r="1656" spans="25:26">
      <c r="Y1656" s="1354"/>
      <c r="Z1656" s="1060"/>
    </row>
    <row r="1657" spans="25:26">
      <c r="Y1657" s="1354"/>
      <c r="Z1657" s="1060"/>
    </row>
    <row r="1658" spans="25:26">
      <c r="Y1658" s="1354"/>
      <c r="Z1658" s="1060"/>
    </row>
    <row r="1659" spans="25:26">
      <c r="Y1659" s="1354"/>
      <c r="Z1659" s="1060"/>
    </row>
    <row r="1660" spans="25:26">
      <c r="Y1660" s="1354"/>
      <c r="Z1660" s="1060"/>
    </row>
    <row r="1661" spans="25:26">
      <c r="Y1661" s="1354"/>
      <c r="Z1661" s="1060"/>
    </row>
    <row r="1662" spans="25:26">
      <c r="Y1662" s="1354"/>
      <c r="Z1662" s="1060"/>
    </row>
    <row r="1663" spans="25:26">
      <c r="Y1663" s="1354"/>
      <c r="Z1663" s="1060"/>
    </row>
    <row r="1664" spans="25:26">
      <c r="Y1664" s="1354"/>
      <c r="Z1664" s="1060"/>
    </row>
    <row r="1665" spans="25:26">
      <c r="Y1665" s="1354"/>
      <c r="Z1665" s="1060"/>
    </row>
    <row r="1666" spans="25:26">
      <c r="Y1666" s="1354"/>
      <c r="Z1666" s="1060"/>
    </row>
    <row r="1667" spans="25:26">
      <c r="Y1667" s="1354"/>
      <c r="Z1667" s="1060"/>
    </row>
    <row r="1668" spans="25:26">
      <c r="Y1668" s="1354"/>
      <c r="Z1668" s="1060"/>
    </row>
    <row r="1669" spans="25:26">
      <c r="Y1669" s="1354"/>
      <c r="Z1669" s="1060"/>
    </row>
    <row r="1670" spans="25:26">
      <c r="Y1670" s="1354"/>
      <c r="Z1670" s="1060"/>
    </row>
    <row r="1671" spans="25:26">
      <c r="Y1671" s="1354"/>
      <c r="Z1671" s="1060"/>
    </row>
    <row r="1672" spans="25:26">
      <c r="Y1672" s="1354"/>
      <c r="Z1672" s="1060"/>
    </row>
    <row r="1673" spans="25:26">
      <c r="Y1673" s="1354"/>
      <c r="Z1673" s="1060"/>
    </row>
    <row r="1674" spans="25:26">
      <c r="Y1674" s="1354"/>
      <c r="Z1674" s="1060"/>
    </row>
    <row r="1675" spans="25:26">
      <c r="Y1675" s="1354"/>
      <c r="Z1675" s="1060"/>
    </row>
    <row r="1676" spans="25:26">
      <c r="Y1676" s="1354"/>
      <c r="Z1676" s="1060"/>
    </row>
    <row r="1677" spans="25:26">
      <c r="Y1677" s="1354"/>
      <c r="Z1677" s="1060"/>
    </row>
    <row r="1678" spans="25:26">
      <c r="Y1678" s="1354"/>
      <c r="Z1678" s="1060"/>
    </row>
    <row r="1679" spans="25:26">
      <c r="Y1679" s="1354"/>
      <c r="Z1679" s="1060"/>
    </row>
    <row r="1680" spans="25:26">
      <c r="Y1680" s="1354"/>
      <c r="Z1680" s="1060"/>
    </row>
    <row r="1681" spans="25:26">
      <c r="Y1681" s="1354"/>
      <c r="Z1681" s="1060"/>
    </row>
    <row r="1682" spans="25:26">
      <c r="Y1682" s="1354"/>
      <c r="Z1682" s="1060"/>
    </row>
    <row r="1683" spans="25:26">
      <c r="Y1683" s="1354"/>
      <c r="Z1683" s="1060"/>
    </row>
    <row r="1684" spans="25:26">
      <c r="Y1684" s="1354"/>
      <c r="Z1684" s="1060"/>
    </row>
    <row r="1685" spans="25:26">
      <c r="Y1685" s="1354"/>
      <c r="Z1685" s="1060"/>
    </row>
    <row r="1686" spans="25:26">
      <c r="Y1686" s="1354"/>
      <c r="Z1686" s="1060"/>
    </row>
    <row r="1687" spans="25:26">
      <c r="Y1687" s="1354"/>
      <c r="Z1687" s="1060"/>
    </row>
    <row r="1688" spans="25:26">
      <c r="Y1688" s="1354"/>
      <c r="Z1688" s="1060"/>
    </row>
    <row r="1689" spans="25:26">
      <c r="Y1689" s="1354"/>
      <c r="Z1689" s="1060"/>
    </row>
    <row r="1690" spans="25:26">
      <c r="Y1690" s="1354"/>
      <c r="Z1690" s="1060"/>
    </row>
    <row r="1691" spans="25:26">
      <c r="Y1691" s="1354"/>
      <c r="Z1691" s="1060"/>
    </row>
    <row r="1692" spans="25:26">
      <c r="Y1692" s="1354"/>
      <c r="Z1692" s="1060"/>
    </row>
    <row r="1693" spans="25:26">
      <c r="Y1693" s="1354"/>
      <c r="Z1693" s="1060"/>
    </row>
    <row r="1694" spans="25:26">
      <c r="Y1694" s="1354"/>
      <c r="Z1694" s="1060"/>
    </row>
    <row r="1695" spans="25:26">
      <c r="Y1695" s="1354"/>
      <c r="Z1695" s="1060"/>
    </row>
    <row r="1696" spans="25:26">
      <c r="Y1696" s="1354"/>
      <c r="Z1696" s="1060"/>
    </row>
    <row r="1697" spans="25:26">
      <c r="Y1697" s="1354"/>
      <c r="Z1697" s="1060"/>
    </row>
    <row r="1698" spans="25:26">
      <c r="Y1698" s="1354"/>
      <c r="Z1698" s="1060"/>
    </row>
    <row r="1699" spans="25:26">
      <c r="Y1699" s="1354"/>
      <c r="Z1699" s="1060"/>
    </row>
    <row r="1700" spans="25:26">
      <c r="Y1700" s="1354"/>
      <c r="Z1700" s="1060"/>
    </row>
    <row r="1701" spans="25:26">
      <c r="Y1701" s="1354"/>
      <c r="Z1701" s="1060"/>
    </row>
    <row r="1702" spans="25:26">
      <c r="Y1702" s="1354"/>
      <c r="Z1702" s="1060"/>
    </row>
    <row r="1703" spans="25:26">
      <c r="Y1703" s="1354"/>
      <c r="Z1703" s="1060"/>
    </row>
    <row r="1704" spans="25:26">
      <c r="Y1704" s="1354"/>
      <c r="Z1704" s="1060"/>
    </row>
    <row r="1705" spans="25:26">
      <c r="Y1705" s="1354"/>
      <c r="Z1705" s="1060"/>
    </row>
    <row r="1706" spans="25:26">
      <c r="Y1706" s="1354"/>
      <c r="Z1706" s="1060"/>
    </row>
    <row r="1707" spans="25:26">
      <c r="Y1707" s="1354"/>
      <c r="Z1707" s="1060"/>
    </row>
    <row r="1708" spans="25:26">
      <c r="Y1708" s="1354"/>
      <c r="Z1708" s="1060"/>
    </row>
    <row r="1709" spans="25:26">
      <c r="Y1709" s="1354"/>
      <c r="Z1709" s="1060"/>
    </row>
    <row r="1710" spans="25:26">
      <c r="Y1710" s="1354"/>
      <c r="Z1710" s="1060"/>
    </row>
    <row r="1711" spans="25:26">
      <c r="Y1711" s="1354"/>
      <c r="Z1711" s="1060"/>
    </row>
    <row r="1712" spans="25:26">
      <c r="Y1712" s="1354"/>
      <c r="Z1712" s="1060"/>
    </row>
    <row r="1713" spans="25:26">
      <c r="Y1713" s="1354"/>
      <c r="Z1713" s="1060"/>
    </row>
    <row r="1714" spans="25:26">
      <c r="Y1714" s="1354"/>
      <c r="Z1714" s="1060"/>
    </row>
    <row r="1715" spans="25:26">
      <c r="Y1715" s="1354"/>
      <c r="Z1715" s="1060"/>
    </row>
    <row r="1716" spans="25:26">
      <c r="Y1716" s="1354"/>
      <c r="Z1716" s="1060"/>
    </row>
    <row r="1717" spans="25:26">
      <c r="Y1717" s="1354"/>
      <c r="Z1717" s="1060"/>
    </row>
    <row r="1718" spans="25:26">
      <c r="Y1718" s="1354"/>
      <c r="Z1718" s="1060"/>
    </row>
    <row r="1719" spans="25:26">
      <c r="Y1719" s="1354"/>
      <c r="Z1719" s="1060"/>
    </row>
    <row r="1720" spans="25:26">
      <c r="Y1720" s="1354"/>
      <c r="Z1720" s="1060"/>
    </row>
    <row r="1721" spans="25:26">
      <c r="Y1721" s="1354"/>
      <c r="Z1721" s="1060"/>
    </row>
    <row r="1722" spans="25:26">
      <c r="Y1722" s="1354"/>
      <c r="Z1722" s="1060"/>
    </row>
    <row r="1723" spans="25:26">
      <c r="Y1723" s="1354"/>
      <c r="Z1723" s="1060"/>
    </row>
    <row r="1724" spans="25:26">
      <c r="Y1724" s="1354"/>
      <c r="Z1724" s="1060"/>
    </row>
    <row r="1725" spans="25:26">
      <c r="Y1725" s="1354"/>
      <c r="Z1725" s="1060"/>
    </row>
    <row r="1726" spans="25:26">
      <c r="Y1726" s="1354"/>
      <c r="Z1726" s="1060"/>
    </row>
    <row r="1727" spans="25:26">
      <c r="Y1727" s="1354"/>
      <c r="Z1727" s="1060"/>
    </row>
    <row r="1728" spans="25:26">
      <c r="Y1728" s="1354"/>
      <c r="Z1728" s="1060"/>
    </row>
    <row r="1729" spans="25:26">
      <c r="Y1729" s="1354"/>
      <c r="Z1729" s="1060"/>
    </row>
    <row r="1730" spans="25:26">
      <c r="Y1730" s="1354"/>
      <c r="Z1730" s="1060"/>
    </row>
    <row r="1731" spans="25:26">
      <c r="Y1731" s="1354"/>
      <c r="Z1731" s="1060"/>
    </row>
    <row r="1732" spans="25:26">
      <c r="Y1732" s="1354"/>
      <c r="Z1732" s="1060"/>
    </row>
    <row r="1733" spans="25:26">
      <c r="Y1733" s="1354"/>
      <c r="Z1733" s="1060"/>
    </row>
    <row r="1734" spans="25:26">
      <c r="Y1734" s="1354"/>
      <c r="Z1734" s="1060"/>
    </row>
    <row r="1735" spans="25:26">
      <c r="Y1735" s="1354"/>
      <c r="Z1735" s="1060"/>
    </row>
    <row r="1736" spans="25:26">
      <c r="Y1736" s="1354"/>
      <c r="Z1736" s="1060"/>
    </row>
    <row r="1737" spans="25:26">
      <c r="Y1737" s="1354"/>
      <c r="Z1737" s="1060"/>
    </row>
    <row r="1738" spans="25:26">
      <c r="Y1738" s="1354"/>
      <c r="Z1738" s="1060"/>
    </row>
    <row r="1739" spans="25:26">
      <c r="Y1739" s="1354"/>
      <c r="Z1739" s="1060"/>
    </row>
    <row r="1740" spans="25:26">
      <c r="Y1740" s="1354"/>
      <c r="Z1740" s="1060"/>
    </row>
    <row r="1741" spans="25:26">
      <c r="Y1741" s="1354"/>
      <c r="Z1741" s="1060"/>
    </row>
    <row r="1742" spans="25:26">
      <c r="Y1742" s="1354"/>
      <c r="Z1742" s="1060"/>
    </row>
    <row r="1743" spans="25:26">
      <c r="Y1743" s="1354"/>
      <c r="Z1743" s="1060"/>
    </row>
    <row r="1744" spans="25:26">
      <c r="Y1744" s="1354"/>
      <c r="Z1744" s="1060"/>
    </row>
    <row r="1745" spans="25:26">
      <c r="Y1745" s="1354"/>
      <c r="Z1745" s="1060"/>
    </row>
    <row r="1746" spans="25:26">
      <c r="Y1746" s="1354"/>
      <c r="Z1746" s="1060"/>
    </row>
    <row r="1747" spans="25:26">
      <c r="Y1747" s="1354"/>
      <c r="Z1747" s="1060"/>
    </row>
    <row r="1748" spans="25:26">
      <c r="Y1748" s="1354"/>
      <c r="Z1748" s="1060"/>
    </row>
    <row r="1749" spans="25:26">
      <c r="Y1749" s="1354"/>
      <c r="Z1749" s="1060"/>
    </row>
    <row r="1750" spans="25:26">
      <c r="Y1750" s="1354"/>
      <c r="Z1750" s="1060"/>
    </row>
    <row r="1751" spans="25:26">
      <c r="Y1751" s="1354"/>
      <c r="Z1751" s="1060"/>
    </row>
    <row r="1752" spans="25:26">
      <c r="Y1752" s="1354"/>
      <c r="Z1752" s="1060"/>
    </row>
    <row r="1753" spans="25:26">
      <c r="Y1753" s="1354"/>
      <c r="Z1753" s="1060"/>
    </row>
    <row r="1754" spans="25:26">
      <c r="Y1754" s="1354"/>
      <c r="Z1754" s="1060"/>
    </row>
    <row r="1755" spans="25:26">
      <c r="Y1755" s="1354"/>
      <c r="Z1755" s="1060"/>
    </row>
    <row r="1756" spans="25:26">
      <c r="Y1756" s="1354"/>
      <c r="Z1756" s="1060"/>
    </row>
    <row r="1757" spans="25:26">
      <c r="Y1757" s="1354"/>
      <c r="Z1757" s="1060"/>
    </row>
    <row r="1758" spans="25:26">
      <c r="Y1758" s="1354"/>
      <c r="Z1758" s="1060"/>
    </row>
    <row r="1759" spans="25:26">
      <c r="Y1759" s="1354"/>
      <c r="Z1759" s="1060"/>
    </row>
    <row r="1760" spans="25:26">
      <c r="Y1760" s="1354"/>
      <c r="Z1760" s="1060"/>
    </row>
    <row r="1761" spans="25:26">
      <c r="Y1761" s="1354"/>
      <c r="Z1761" s="1060"/>
    </row>
    <row r="1762" spans="25:26">
      <c r="Y1762" s="1354"/>
      <c r="Z1762" s="1060"/>
    </row>
    <row r="1763" spans="25:26">
      <c r="Y1763" s="1354"/>
      <c r="Z1763" s="1060"/>
    </row>
    <row r="1764" spans="25:26">
      <c r="Y1764" s="1354"/>
      <c r="Z1764" s="1060"/>
    </row>
    <row r="1765" spans="25:26">
      <c r="Y1765" s="1354"/>
      <c r="Z1765" s="1060"/>
    </row>
    <row r="1766" spans="25:26">
      <c r="Y1766" s="1354"/>
      <c r="Z1766" s="1060"/>
    </row>
    <row r="1767" spans="25:26">
      <c r="Y1767" s="1354"/>
      <c r="Z1767" s="1060"/>
    </row>
    <row r="1768" spans="25:26">
      <c r="Y1768" s="1354"/>
      <c r="Z1768" s="1060"/>
    </row>
    <row r="1769" spans="25:26">
      <c r="Y1769" s="1354"/>
      <c r="Z1769" s="1060"/>
    </row>
    <row r="1770" spans="25:26">
      <c r="Y1770" s="1354"/>
      <c r="Z1770" s="1060"/>
    </row>
    <row r="1771" spans="25:26">
      <c r="Y1771" s="1354"/>
      <c r="Z1771" s="1060"/>
    </row>
    <row r="1772" spans="25:26">
      <c r="Y1772" s="1354"/>
      <c r="Z1772" s="1060"/>
    </row>
    <row r="1773" spans="25:26">
      <c r="Y1773" s="1354"/>
      <c r="Z1773" s="1060"/>
    </row>
    <row r="1774" spans="25:26">
      <c r="Y1774" s="1354"/>
      <c r="Z1774" s="1060"/>
    </row>
    <row r="1775" spans="25:26">
      <c r="Y1775" s="1354"/>
      <c r="Z1775" s="1060"/>
    </row>
    <row r="1776" spans="25:26">
      <c r="Y1776" s="1354"/>
      <c r="Z1776" s="1060"/>
    </row>
    <row r="1777" spans="25:26">
      <c r="Y1777" s="1354"/>
      <c r="Z1777" s="1060"/>
    </row>
    <row r="1778" spans="25:26">
      <c r="Y1778" s="1354"/>
      <c r="Z1778" s="1060"/>
    </row>
    <row r="1779" spans="25:26">
      <c r="Y1779" s="1354"/>
      <c r="Z1779" s="1060"/>
    </row>
    <row r="1780" spans="25:26">
      <c r="Y1780" s="1354"/>
      <c r="Z1780" s="1060"/>
    </row>
    <row r="1781" spans="25:26">
      <c r="Y1781" s="1354"/>
      <c r="Z1781" s="1060"/>
    </row>
    <row r="1782" spans="25:26">
      <c r="Y1782" s="1354"/>
      <c r="Z1782" s="1060"/>
    </row>
    <row r="1783" spans="25:26">
      <c r="Y1783" s="1354"/>
      <c r="Z1783" s="1060"/>
    </row>
    <row r="1784" spans="25:26">
      <c r="Y1784" s="1354"/>
      <c r="Z1784" s="1060"/>
    </row>
    <row r="1785" spans="25:26">
      <c r="Y1785" s="1354"/>
      <c r="Z1785" s="1060"/>
    </row>
    <row r="1786" spans="25:26">
      <c r="Y1786" s="1354"/>
      <c r="Z1786" s="1060"/>
    </row>
    <row r="1787" spans="25:26">
      <c r="Y1787" s="1354"/>
      <c r="Z1787" s="1060"/>
    </row>
    <row r="1788" spans="25:26">
      <c r="Y1788" s="1354"/>
      <c r="Z1788" s="1060"/>
    </row>
    <row r="1789" spans="25:26">
      <c r="Y1789" s="1354"/>
      <c r="Z1789" s="1060"/>
    </row>
    <row r="1790" spans="25:26">
      <c r="Y1790" s="1354"/>
      <c r="Z1790" s="1060"/>
    </row>
    <row r="1791" spans="25:26">
      <c r="Y1791" s="1354"/>
      <c r="Z1791" s="1060"/>
    </row>
    <row r="1792" spans="25:26">
      <c r="Y1792" s="1354"/>
      <c r="Z1792" s="1060"/>
    </row>
    <row r="1793" spans="25:26">
      <c r="Y1793" s="1354"/>
      <c r="Z1793" s="1060"/>
    </row>
    <row r="1794" spans="25:26">
      <c r="Y1794" s="1354"/>
      <c r="Z1794" s="1060"/>
    </row>
    <row r="1795" spans="25:26">
      <c r="Y1795" s="1354"/>
      <c r="Z1795" s="1060"/>
    </row>
    <row r="1796" spans="25:26">
      <c r="Y1796" s="1354"/>
      <c r="Z1796" s="1060"/>
    </row>
    <row r="1797" spans="25:26">
      <c r="Y1797" s="1354"/>
      <c r="Z1797" s="1060"/>
    </row>
    <row r="1798" spans="25:26">
      <c r="Y1798" s="1354"/>
      <c r="Z1798" s="1060"/>
    </row>
    <row r="1799" spans="25:26">
      <c r="Y1799" s="1354"/>
      <c r="Z1799" s="1060"/>
    </row>
    <row r="1800" spans="25:26">
      <c r="Y1800" s="1354"/>
      <c r="Z1800" s="1060"/>
    </row>
    <row r="1801" spans="25:26">
      <c r="Y1801" s="1354"/>
      <c r="Z1801" s="1060"/>
    </row>
    <row r="1802" spans="25:26">
      <c r="Y1802" s="1354"/>
      <c r="Z1802" s="1060"/>
    </row>
    <row r="1803" spans="25:26">
      <c r="Y1803" s="1354"/>
      <c r="Z1803" s="1060"/>
    </row>
    <row r="1804" spans="25:26">
      <c r="Y1804" s="1354"/>
      <c r="Z1804" s="1060"/>
    </row>
    <row r="1805" spans="25:26">
      <c r="Y1805" s="1354"/>
      <c r="Z1805" s="1060"/>
    </row>
    <row r="1806" spans="25:26">
      <c r="Y1806" s="1354"/>
      <c r="Z1806" s="1060"/>
    </row>
    <row r="1807" spans="25:26">
      <c r="Y1807" s="1354"/>
      <c r="Z1807" s="1060"/>
    </row>
    <row r="1808" spans="25:26">
      <c r="Y1808" s="1354"/>
      <c r="Z1808" s="1060"/>
    </row>
    <row r="1809" spans="25:26">
      <c r="Y1809" s="1354"/>
      <c r="Z1809" s="1060"/>
    </row>
    <row r="1810" spans="25:26">
      <c r="Y1810" s="1354"/>
      <c r="Z1810" s="1060"/>
    </row>
    <row r="1811" spans="25:26">
      <c r="Y1811" s="1354"/>
      <c r="Z1811" s="1060"/>
    </row>
    <row r="1812" spans="25:26">
      <c r="Y1812" s="1354"/>
      <c r="Z1812" s="1060"/>
    </row>
    <row r="1813" spans="25:26">
      <c r="Y1813" s="1354"/>
      <c r="Z1813" s="1060"/>
    </row>
    <row r="1814" spans="25:26">
      <c r="Y1814" s="1354"/>
      <c r="Z1814" s="1060"/>
    </row>
    <row r="1815" spans="25:26">
      <c r="Y1815" s="1354"/>
      <c r="Z1815" s="1060"/>
    </row>
    <row r="1816" spans="25:26">
      <c r="Y1816" s="1354"/>
      <c r="Z1816" s="1060"/>
    </row>
    <row r="1817" spans="25:26">
      <c r="Y1817" s="1354"/>
      <c r="Z1817" s="1060"/>
    </row>
    <row r="1818" spans="25:26">
      <c r="Y1818" s="1354"/>
      <c r="Z1818" s="1060"/>
    </row>
    <row r="1819" spans="25:26">
      <c r="Y1819" s="1354"/>
      <c r="Z1819" s="1060"/>
    </row>
    <row r="1820" spans="25:26">
      <c r="Y1820" s="1354"/>
      <c r="Z1820" s="1060"/>
    </row>
    <row r="1821" spans="25:26">
      <c r="Y1821" s="1354"/>
      <c r="Z1821" s="1060"/>
    </row>
    <row r="1822" spans="25:26">
      <c r="Y1822" s="1354"/>
      <c r="Z1822" s="1060"/>
    </row>
    <row r="1823" spans="25:26">
      <c r="Y1823" s="1354"/>
      <c r="Z1823" s="1060"/>
    </row>
    <row r="1824" spans="25:26">
      <c r="Y1824" s="1354"/>
      <c r="Z1824" s="1060"/>
    </row>
    <row r="1825" spans="25:26">
      <c r="Y1825" s="1354"/>
      <c r="Z1825" s="1060"/>
    </row>
    <row r="1826" spans="25:26">
      <c r="Y1826" s="1354"/>
      <c r="Z1826" s="1060"/>
    </row>
    <row r="1827" spans="25:26">
      <c r="Y1827" s="1354"/>
      <c r="Z1827" s="1060"/>
    </row>
    <row r="1828" spans="25:26">
      <c r="Y1828" s="1354"/>
      <c r="Z1828" s="1060"/>
    </row>
    <row r="1829" spans="25:26">
      <c r="Y1829" s="1354"/>
      <c r="Z1829" s="1060"/>
    </row>
    <row r="1830" spans="25:26">
      <c r="Y1830" s="1354"/>
      <c r="Z1830" s="1060"/>
    </row>
    <row r="1831" spans="25:26">
      <c r="Y1831" s="1354"/>
      <c r="Z1831" s="1060"/>
    </row>
    <row r="1832" spans="25:26">
      <c r="Y1832" s="1354"/>
      <c r="Z1832" s="1060"/>
    </row>
    <row r="1833" spans="25:26">
      <c r="Y1833" s="1354"/>
      <c r="Z1833" s="1060"/>
    </row>
    <row r="1834" spans="25:26">
      <c r="Y1834" s="1354"/>
      <c r="Z1834" s="1060"/>
    </row>
    <row r="1835" spans="25:26">
      <c r="Y1835" s="1354"/>
      <c r="Z1835" s="1060"/>
    </row>
    <row r="1836" spans="25:26">
      <c r="Y1836" s="1354"/>
      <c r="Z1836" s="1060"/>
    </row>
    <row r="1837" spans="25:26">
      <c r="Y1837" s="1354"/>
      <c r="Z1837" s="1060"/>
    </row>
    <row r="1838" spans="25:26">
      <c r="Y1838" s="1354"/>
      <c r="Z1838" s="1060"/>
    </row>
    <row r="1839" spans="25:26">
      <c r="Y1839" s="1354"/>
      <c r="Z1839" s="1060"/>
    </row>
    <row r="1840" spans="25:26">
      <c r="Y1840" s="1354"/>
      <c r="Z1840" s="1060"/>
    </row>
    <row r="1841" spans="25:26">
      <c r="Y1841" s="1354"/>
      <c r="Z1841" s="1060"/>
    </row>
    <row r="1842" spans="25:26">
      <c r="Y1842" s="1354"/>
      <c r="Z1842" s="1060"/>
    </row>
    <row r="1843" spans="25:26">
      <c r="Y1843" s="1354"/>
      <c r="Z1843" s="1060"/>
    </row>
    <row r="1844" spans="25:26">
      <c r="Y1844" s="1354"/>
      <c r="Z1844" s="1060"/>
    </row>
    <row r="1845" spans="25:26">
      <c r="Y1845" s="1354"/>
      <c r="Z1845" s="1060"/>
    </row>
    <row r="1846" spans="25:26">
      <c r="Y1846" s="1354"/>
      <c r="Z1846" s="1060"/>
    </row>
    <row r="1847" spans="25:26">
      <c r="Y1847" s="1354"/>
      <c r="Z1847" s="1060"/>
    </row>
    <row r="1848" spans="25:26">
      <c r="Y1848" s="1354"/>
      <c r="Z1848" s="1060"/>
    </row>
    <row r="1849" spans="25:26">
      <c r="Y1849" s="1354"/>
      <c r="Z1849" s="1060"/>
    </row>
    <row r="1850" spans="25:26">
      <c r="Y1850" s="1354"/>
      <c r="Z1850" s="1060"/>
    </row>
    <row r="1851" spans="25:26">
      <c r="Y1851" s="1354"/>
      <c r="Z1851" s="1060"/>
    </row>
    <row r="1852" spans="25:26">
      <c r="Y1852" s="1354"/>
      <c r="Z1852" s="1060"/>
    </row>
    <row r="1853" spans="25:26">
      <c r="Y1853" s="1354"/>
      <c r="Z1853" s="1060"/>
    </row>
    <row r="1854" spans="25:26">
      <c r="Y1854" s="1354"/>
      <c r="Z1854" s="1060"/>
    </row>
    <row r="1855" spans="25:26">
      <c r="Y1855" s="1354"/>
      <c r="Z1855" s="1060"/>
    </row>
    <row r="1856" spans="25:26">
      <c r="Y1856" s="1354"/>
      <c r="Z1856" s="1060"/>
    </row>
    <row r="1857" spans="25:26">
      <c r="Y1857" s="1354"/>
      <c r="Z1857" s="1060"/>
    </row>
    <row r="1858" spans="25:26">
      <c r="Y1858" s="1354"/>
      <c r="Z1858" s="1060"/>
    </row>
    <row r="1859" spans="25:26">
      <c r="Y1859" s="1354"/>
      <c r="Z1859" s="1060"/>
    </row>
    <row r="1860" spans="25:26">
      <c r="Y1860" s="1354"/>
      <c r="Z1860" s="1060"/>
    </row>
    <row r="1861" spans="25:26">
      <c r="Y1861" s="1354"/>
      <c r="Z1861" s="1060"/>
    </row>
    <row r="1862" spans="25:26">
      <c r="Y1862" s="1354"/>
      <c r="Z1862" s="1060"/>
    </row>
    <row r="1863" spans="25:26">
      <c r="Y1863" s="1354"/>
      <c r="Z1863" s="1060"/>
    </row>
    <row r="1864" spans="25:26">
      <c r="Y1864" s="1354"/>
      <c r="Z1864" s="1060"/>
    </row>
    <row r="1865" spans="25:26">
      <c r="Y1865" s="1354"/>
      <c r="Z1865" s="1060"/>
    </row>
    <row r="1866" spans="25:26">
      <c r="Y1866" s="1354"/>
      <c r="Z1866" s="1060"/>
    </row>
    <row r="1867" spans="25:26">
      <c r="Y1867" s="1354"/>
      <c r="Z1867" s="1060"/>
    </row>
    <row r="1868" spans="25:26">
      <c r="Y1868" s="1354"/>
      <c r="Z1868" s="1060"/>
    </row>
    <row r="1869" spans="25:26">
      <c r="Y1869" s="1354"/>
      <c r="Z1869" s="1060"/>
    </row>
    <row r="1870" spans="25:26">
      <c r="Y1870" s="1354"/>
      <c r="Z1870" s="1060"/>
    </row>
    <row r="1871" spans="25:26">
      <c r="Y1871" s="1354"/>
      <c r="Z1871" s="1060"/>
    </row>
    <row r="1872" spans="25:26">
      <c r="Y1872" s="1354"/>
      <c r="Z1872" s="1060"/>
    </row>
    <row r="1873" spans="25:26">
      <c r="Y1873" s="1354"/>
      <c r="Z1873" s="1060"/>
    </row>
    <row r="1874" spans="25:26">
      <c r="Y1874" s="1354"/>
      <c r="Z1874" s="1060"/>
    </row>
    <row r="1875" spans="25:26">
      <c r="Y1875" s="1354"/>
      <c r="Z1875" s="1060"/>
    </row>
    <row r="1876" spans="25:26">
      <c r="Y1876" s="1354"/>
      <c r="Z1876" s="1060"/>
    </row>
    <row r="1877" spans="25:26">
      <c r="Y1877" s="1354"/>
      <c r="Z1877" s="1060"/>
    </row>
    <row r="1878" spans="25:26">
      <c r="Y1878" s="1354"/>
      <c r="Z1878" s="1060"/>
    </row>
    <row r="1879" spans="25:26">
      <c r="Y1879" s="1354"/>
      <c r="Z1879" s="1060"/>
    </row>
    <row r="1880" spans="25:26">
      <c r="Y1880" s="1354"/>
      <c r="Z1880" s="1060"/>
    </row>
    <row r="1881" spans="25:26">
      <c r="Y1881" s="1354"/>
      <c r="Z1881" s="1060"/>
    </row>
    <row r="1882" spans="25:26">
      <c r="Y1882" s="1354"/>
      <c r="Z1882" s="1060"/>
    </row>
    <row r="1883" spans="25:26">
      <c r="Y1883" s="1354"/>
      <c r="Z1883" s="1060"/>
    </row>
    <row r="1884" spans="25:26">
      <c r="Y1884" s="1354"/>
      <c r="Z1884" s="1060"/>
    </row>
    <row r="1885" spans="25:26">
      <c r="Y1885" s="1354"/>
      <c r="Z1885" s="1060"/>
    </row>
    <row r="1886" spans="25:26">
      <c r="Y1886" s="1354"/>
      <c r="Z1886" s="1060"/>
    </row>
    <row r="1887" spans="25:26">
      <c r="Y1887" s="1354"/>
      <c r="Z1887" s="1060"/>
    </row>
    <row r="1888" spans="25:26">
      <c r="Y1888" s="1354"/>
      <c r="Z1888" s="1060"/>
    </row>
    <row r="1889" spans="25:26">
      <c r="Y1889" s="1354"/>
      <c r="Z1889" s="1060"/>
    </row>
    <row r="1890" spans="25:26">
      <c r="Y1890" s="1354"/>
      <c r="Z1890" s="1060"/>
    </row>
    <row r="1891" spans="25:26">
      <c r="Y1891" s="1354"/>
      <c r="Z1891" s="1060"/>
    </row>
    <row r="1892" spans="25:26">
      <c r="Y1892" s="1354"/>
      <c r="Z1892" s="1060"/>
    </row>
    <row r="1893" spans="25:26">
      <c r="Y1893" s="1354"/>
      <c r="Z1893" s="1060"/>
    </row>
    <row r="1894" spans="25:26">
      <c r="Y1894" s="1354"/>
      <c r="Z1894" s="1060"/>
    </row>
    <row r="1895" spans="25:26">
      <c r="Y1895" s="1354"/>
      <c r="Z1895" s="1060"/>
    </row>
    <row r="1896" spans="25:26">
      <c r="Y1896" s="1354"/>
      <c r="Z1896" s="1060"/>
    </row>
    <row r="1897" spans="25:26">
      <c r="Y1897" s="1354"/>
      <c r="Z1897" s="1060"/>
    </row>
    <row r="1898" spans="25:26">
      <c r="Y1898" s="1354"/>
      <c r="Z1898" s="1060"/>
    </row>
    <row r="1899" spans="25:26">
      <c r="Y1899" s="1354"/>
      <c r="Z1899" s="1060"/>
    </row>
    <row r="1900" spans="25:26">
      <c r="Y1900" s="1354"/>
      <c r="Z1900" s="1060"/>
    </row>
    <row r="1901" spans="25:26">
      <c r="Y1901" s="1354"/>
      <c r="Z1901" s="1060"/>
    </row>
    <row r="1902" spans="25:26">
      <c r="Y1902" s="1354"/>
      <c r="Z1902" s="1060"/>
    </row>
    <row r="1903" spans="25:26">
      <c r="Y1903" s="1354"/>
      <c r="Z1903" s="1060"/>
    </row>
    <row r="1904" spans="25:26">
      <c r="Y1904" s="1354"/>
      <c r="Z1904" s="1060"/>
    </row>
    <row r="1905" spans="25:26">
      <c r="Y1905" s="1354"/>
      <c r="Z1905" s="1060"/>
    </row>
    <row r="1906" spans="25:26">
      <c r="Y1906" s="1354"/>
      <c r="Z1906" s="1060"/>
    </row>
    <row r="1907" spans="25:26">
      <c r="Y1907" s="1354"/>
      <c r="Z1907" s="1060"/>
    </row>
    <row r="1908" spans="25:26">
      <c r="Y1908" s="1354"/>
      <c r="Z1908" s="1060"/>
    </row>
    <row r="1909" spans="25:26">
      <c r="Y1909" s="1354"/>
      <c r="Z1909" s="1060"/>
    </row>
    <row r="1910" spans="25:26">
      <c r="Y1910" s="1354"/>
      <c r="Z1910" s="1060"/>
    </row>
    <row r="1911" spans="25:26">
      <c r="Y1911" s="1354"/>
      <c r="Z1911" s="1060"/>
    </row>
    <row r="1912" spans="25:26">
      <c r="Y1912" s="1354"/>
      <c r="Z1912" s="1060"/>
    </row>
    <row r="1913" spans="25:26">
      <c r="Y1913" s="1354"/>
      <c r="Z1913" s="1060"/>
    </row>
    <row r="1914" spans="25:26">
      <c r="Y1914" s="1354"/>
      <c r="Z1914" s="1060"/>
    </row>
    <row r="1915" spans="25:26">
      <c r="Y1915" s="1354"/>
      <c r="Z1915" s="1060"/>
    </row>
    <row r="1916" spans="25:26">
      <c r="Y1916" s="1354"/>
      <c r="Z1916" s="1060"/>
    </row>
    <row r="1917" spans="25:26">
      <c r="Y1917" s="1354"/>
      <c r="Z1917" s="1060"/>
    </row>
    <row r="1918" spans="25:26">
      <c r="Y1918" s="1354"/>
      <c r="Z1918" s="1060"/>
    </row>
    <row r="1919" spans="25:26">
      <c r="Y1919" s="1354"/>
      <c r="Z1919" s="1060"/>
    </row>
    <row r="1920" spans="25:26">
      <c r="Y1920" s="1354"/>
      <c r="Z1920" s="1060"/>
    </row>
    <row r="1921" spans="25:26">
      <c r="Y1921" s="1354"/>
      <c r="Z1921" s="1060"/>
    </row>
    <row r="1922" spans="25:26">
      <c r="Y1922" s="1354"/>
      <c r="Z1922" s="1060"/>
    </row>
    <row r="1923" spans="25:26">
      <c r="Y1923" s="1354"/>
      <c r="Z1923" s="1060"/>
    </row>
    <row r="1924" spans="25:26">
      <c r="Y1924" s="1354"/>
      <c r="Z1924" s="1060"/>
    </row>
    <row r="1925" spans="25:26">
      <c r="Y1925" s="1354"/>
      <c r="Z1925" s="1060"/>
    </row>
    <row r="1926" spans="25:26">
      <c r="Y1926" s="1354"/>
      <c r="Z1926" s="1060"/>
    </row>
    <row r="1927" spans="25:26">
      <c r="Y1927" s="1354"/>
      <c r="Z1927" s="1060"/>
    </row>
    <row r="1928" spans="25:26">
      <c r="Y1928" s="1354"/>
      <c r="Z1928" s="1060"/>
    </row>
    <row r="1929" spans="25:26">
      <c r="Y1929" s="1354"/>
      <c r="Z1929" s="1060"/>
    </row>
    <row r="1930" spans="25:26">
      <c r="Y1930" s="1354"/>
      <c r="Z1930" s="1060"/>
    </row>
    <row r="1931" spans="25:26">
      <c r="Y1931" s="1354"/>
      <c r="Z1931" s="1060"/>
    </row>
    <row r="1932" spans="25:26">
      <c r="Y1932" s="1354"/>
      <c r="Z1932" s="1060"/>
    </row>
    <row r="1933" spans="25:26">
      <c r="Y1933" s="1354"/>
      <c r="Z1933" s="1060"/>
    </row>
    <row r="1934" spans="25:26">
      <c r="Y1934" s="1354"/>
      <c r="Z1934" s="1060"/>
    </row>
    <row r="1935" spans="25:26">
      <c r="Y1935" s="1354"/>
      <c r="Z1935" s="1060"/>
    </row>
    <row r="1936" spans="25:26">
      <c r="Y1936" s="1354"/>
      <c r="Z1936" s="1060"/>
    </row>
    <row r="1937" spans="25:26">
      <c r="Y1937" s="1354"/>
      <c r="Z1937" s="1060"/>
    </row>
    <row r="1938" spans="25:26">
      <c r="Y1938" s="1354"/>
      <c r="Z1938" s="1060"/>
    </row>
    <row r="1939" spans="25:26">
      <c r="Y1939" s="1354"/>
      <c r="Z1939" s="1060"/>
    </row>
    <row r="1940" spans="25:26">
      <c r="Y1940" s="1354"/>
      <c r="Z1940" s="1060"/>
    </row>
    <row r="1941" spans="25:26">
      <c r="Y1941" s="1354"/>
      <c r="Z1941" s="1060"/>
    </row>
    <row r="1942" spans="25:26">
      <c r="Y1942" s="1354"/>
      <c r="Z1942" s="1060"/>
    </row>
    <row r="1943" spans="25:26">
      <c r="Y1943" s="1354"/>
      <c r="Z1943" s="1060"/>
    </row>
    <row r="1944" spans="25:26">
      <c r="Y1944" s="1354"/>
      <c r="Z1944" s="1060"/>
    </row>
    <row r="1945" spans="25:26">
      <c r="Y1945" s="1354"/>
      <c r="Z1945" s="1060"/>
    </row>
    <row r="1946" spans="25:26">
      <c r="Y1946" s="1354"/>
      <c r="Z1946" s="1060"/>
    </row>
    <row r="1947" spans="25:26">
      <c r="Y1947" s="1354"/>
      <c r="Z1947" s="1060"/>
    </row>
    <row r="1948" spans="25:26">
      <c r="Y1948" s="1354"/>
      <c r="Z1948" s="1060"/>
    </row>
    <row r="1949" spans="25:26">
      <c r="Y1949" s="1354"/>
      <c r="Z1949" s="1060"/>
    </row>
    <row r="1950" spans="25:26">
      <c r="Y1950" s="1354"/>
      <c r="Z1950" s="1060"/>
    </row>
    <row r="1951" spans="25:26">
      <c r="Y1951" s="1354"/>
      <c r="Z1951" s="1060"/>
    </row>
    <row r="1952" spans="25:26">
      <c r="Y1952" s="1354"/>
      <c r="Z1952" s="1060"/>
    </row>
    <row r="1953" spans="25:26">
      <c r="Y1953" s="1354"/>
      <c r="Z1953" s="1060"/>
    </row>
    <row r="1954" spans="25:26">
      <c r="Y1954" s="1354"/>
      <c r="Z1954" s="1060"/>
    </row>
    <row r="1955" spans="25:26">
      <c r="Y1955" s="1354"/>
      <c r="Z1955" s="1060"/>
    </row>
    <row r="1956" spans="25:26">
      <c r="Y1956" s="1354"/>
      <c r="Z1956" s="1060"/>
    </row>
    <row r="1957" spans="25:26">
      <c r="Y1957" s="1354"/>
      <c r="Z1957" s="1060"/>
    </row>
    <row r="1958" spans="25:26">
      <c r="Y1958" s="1354"/>
      <c r="Z1958" s="1060"/>
    </row>
    <row r="1959" spans="25:26">
      <c r="Y1959" s="1354"/>
      <c r="Z1959" s="1060"/>
    </row>
    <row r="1960" spans="25:26">
      <c r="Y1960" s="1354"/>
      <c r="Z1960" s="1060"/>
    </row>
    <row r="1961" spans="25:26">
      <c r="Y1961" s="1354"/>
      <c r="Z1961" s="1060"/>
    </row>
    <row r="1962" spans="25:26">
      <c r="Y1962" s="1354"/>
      <c r="Z1962" s="1060"/>
    </row>
    <row r="1963" spans="25:26">
      <c r="Y1963" s="1354"/>
      <c r="Z1963" s="1060"/>
    </row>
    <row r="1964" spans="25:26">
      <c r="Y1964" s="1354"/>
      <c r="Z1964" s="1060"/>
    </row>
    <row r="1965" spans="25:26">
      <c r="Y1965" s="1354"/>
      <c r="Z1965" s="1060"/>
    </row>
    <row r="1966" spans="25:26">
      <c r="Y1966" s="1354"/>
      <c r="Z1966" s="1060"/>
    </row>
    <row r="1967" spans="25:26">
      <c r="Y1967" s="1354"/>
      <c r="Z1967" s="1060"/>
    </row>
    <row r="1968" spans="25:26">
      <c r="Y1968" s="1354"/>
      <c r="Z1968" s="1060"/>
    </row>
    <row r="1969" spans="25:26">
      <c r="Y1969" s="1354"/>
      <c r="Z1969" s="1060"/>
    </row>
    <row r="1970" spans="25:26">
      <c r="Y1970" s="1354"/>
      <c r="Z1970" s="1060"/>
    </row>
    <row r="1971" spans="25:26">
      <c r="Y1971" s="1354"/>
      <c r="Z1971" s="1060"/>
    </row>
    <row r="1972" spans="25:26">
      <c r="Y1972" s="1354"/>
      <c r="Z1972" s="1060"/>
    </row>
    <row r="1973" spans="25:26">
      <c r="Y1973" s="1354"/>
      <c r="Z1973" s="1060"/>
    </row>
    <row r="1974" spans="25:26">
      <c r="Y1974" s="1354"/>
      <c r="Z1974" s="1060"/>
    </row>
    <row r="1975" spans="25:26">
      <c r="Y1975" s="1354"/>
      <c r="Z1975" s="1060"/>
    </row>
    <row r="1976" spans="25:26">
      <c r="Y1976" s="1354"/>
      <c r="Z1976" s="1060"/>
    </row>
    <row r="1977" spans="25:26">
      <c r="Y1977" s="1354"/>
      <c r="Z1977" s="1060"/>
    </row>
    <row r="1978" spans="25:26">
      <c r="Y1978" s="1354"/>
      <c r="Z1978" s="1060"/>
    </row>
    <row r="1979" spans="25:26">
      <c r="Y1979" s="1354"/>
      <c r="Z1979" s="1060"/>
    </row>
    <row r="1980" spans="25:26">
      <c r="Y1980" s="1354"/>
      <c r="Z1980" s="1060"/>
    </row>
    <row r="1981" spans="25:26">
      <c r="Y1981" s="1354"/>
      <c r="Z1981" s="1060"/>
    </row>
    <row r="1982" spans="25:26">
      <c r="Y1982" s="1354"/>
      <c r="Z1982" s="1060"/>
    </row>
    <row r="1983" spans="25:26">
      <c r="Y1983" s="1354"/>
      <c r="Z1983" s="1060"/>
    </row>
    <row r="1984" spans="25:26">
      <c r="Y1984" s="1354"/>
      <c r="Z1984" s="1060"/>
    </row>
    <row r="1985" spans="25:26">
      <c r="Y1985" s="1354"/>
      <c r="Z1985" s="1060"/>
    </row>
    <row r="1986" spans="25:26">
      <c r="Y1986" s="1354"/>
      <c r="Z1986" s="1060"/>
    </row>
    <row r="1987" spans="25:26">
      <c r="Y1987" s="1354"/>
      <c r="Z1987" s="1060"/>
    </row>
    <row r="1988" spans="25:26">
      <c r="Y1988" s="1354"/>
      <c r="Z1988" s="1060"/>
    </row>
    <row r="1989" spans="25:26">
      <c r="Y1989" s="1354"/>
      <c r="Z1989" s="1060"/>
    </row>
    <row r="1990" spans="25:26">
      <c r="Y1990" s="1354"/>
      <c r="Z1990" s="1060"/>
    </row>
    <row r="1991" spans="25:26">
      <c r="Y1991" s="1354"/>
      <c r="Z1991" s="1060"/>
    </row>
    <row r="1992" spans="25:26">
      <c r="Y1992" s="1354"/>
      <c r="Z1992" s="1060"/>
    </row>
    <row r="1993" spans="25:26">
      <c r="Y1993" s="1354"/>
      <c r="Z1993" s="1060"/>
    </row>
    <row r="1994" spans="25:26">
      <c r="Y1994" s="1354"/>
      <c r="Z1994" s="1060"/>
    </row>
    <row r="1995" spans="25:26">
      <c r="Y1995" s="1354"/>
      <c r="Z1995" s="1060"/>
    </row>
    <row r="1996" spans="25:26">
      <c r="Y1996" s="1354"/>
      <c r="Z1996" s="1060"/>
    </row>
    <row r="1997" spans="25:26">
      <c r="Y1997" s="1354"/>
      <c r="Z1997" s="1060"/>
    </row>
    <row r="1998" spans="25:26">
      <c r="Y1998" s="1354"/>
      <c r="Z1998" s="1060"/>
    </row>
    <row r="1999" spans="25:26">
      <c r="Y1999" s="1354"/>
      <c r="Z1999" s="1060"/>
    </row>
    <row r="2000" spans="25:26">
      <c r="Y2000" s="1354"/>
      <c r="Z2000" s="1060"/>
    </row>
    <row r="2001" spans="25:26">
      <c r="Y2001" s="1354"/>
      <c r="Z2001" s="1060"/>
    </row>
    <row r="2002" spans="25:26">
      <c r="Y2002" s="1354"/>
      <c r="Z2002" s="1060"/>
    </row>
    <row r="2003" spans="25:26">
      <c r="Y2003" s="1354"/>
      <c r="Z2003" s="1060"/>
    </row>
    <row r="2004" spans="25:26">
      <c r="Y2004" s="1354"/>
      <c r="Z2004" s="1060"/>
    </row>
    <row r="2005" spans="25:26">
      <c r="Y2005" s="1354"/>
      <c r="Z2005" s="1060"/>
    </row>
    <row r="2006" spans="25:26">
      <c r="Y2006" s="1354"/>
      <c r="Z2006" s="1060"/>
    </row>
    <row r="2007" spans="25:26">
      <c r="Y2007" s="1354"/>
      <c r="Z2007" s="1060"/>
    </row>
    <row r="2008" spans="25:26">
      <c r="Y2008" s="1354"/>
      <c r="Z2008" s="1060"/>
    </row>
    <row r="2009" spans="25:26">
      <c r="Y2009" s="1354"/>
      <c r="Z2009" s="1060"/>
    </row>
    <row r="2010" spans="25:26">
      <c r="Y2010" s="1354"/>
      <c r="Z2010" s="1060"/>
    </row>
    <row r="2011" spans="25:26">
      <c r="Y2011" s="1354"/>
      <c r="Z2011" s="1060"/>
    </row>
    <row r="2012" spans="25:26">
      <c r="Y2012" s="1354"/>
      <c r="Z2012" s="1060"/>
    </row>
    <row r="2013" spans="25:26">
      <c r="Y2013" s="1354"/>
      <c r="Z2013" s="1060"/>
    </row>
    <row r="2014" spans="25:26">
      <c r="Y2014" s="1354"/>
      <c r="Z2014" s="1060"/>
    </row>
    <row r="2015" spans="25:26">
      <c r="Y2015" s="1354"/>
      <c r="Z2015" s="1060"/>
    </row>
    <row r="2016" spans="25:26">
      <c r="Y2016" s="1354"/>
      <c r="Z2016" s="1060"/>
    </row>
    <row r="2017" spans="25:26">
      <c r="Y2017" s="1354"/>
      <c r="Z2017" s="1060"/>
    </row>
    <row r="2018" spans="25:26">
      <c r="Y2018" s="1354"/>
      <c r="Z2018" s="1060"/>
    </row>
    <row r="2019" spans="25:26">
      <c r="Y2019" s="1354"/>
      <c r="Z2019" s="1060"/>
    </row>
    <row r="2020" spans="25:26">
      <c r="Y2020" s="1354"/>
      <c r="Z2020" s="1060"/>
    </row>
    <row r="2021" spans="25:26">
      <c r="Y2021" s="1354"/>
      <c r="Z2021" s="1060"/>
    </row>
    <row r="2022" spans="25:26">
      <c r="Y2022" s="1354"/>
      <c r="Z2022" s="1060"/>
    </row>
    <row r="2023" spans="25:26">
      <c r="Y2023" s="1354"/>
      <c r="Z2023" s="1060"/>
    </row>
    <row r="2024" spans="25:26">
      <c r="Y2024" s="1354"/>
      <c r="Z2024" s="1060"/>
    </row>
    <row r="2025" spans="25:26">
      <c r="Y2025" s="1354"/>
      <c r="Z2025" s="1060"/>
    </row>
    <row r="2026" spans="25:26">
      <c r="Y2026" s="1354"/>
      <c r="Z2026" s="1060"/>
    </row>
    <row r="2027" spans="25:26">
      <c r="Y2027" s="1354"/>
      <c r="Z2027" s="1060"/>
    </row>
    <row r="2028" spans="25:26">
      <c r="Y2028" s="1354"/>
      <c r="Z2028" s="1060"/>
    </row>
    <row r="2029" spans="25:26">
      <c r="Y2029" s="1354"/>
      <c r="Z2029" s="1060"/>
    </row>
    <row r="2030" spans="25:26">
      <c r="Y2030" s="1354"/>
      <c r="Z2030" s="1060"/>
    </row>
    <row r="2031" spans="25:26">
      <c r="Y2031" s="1354"/>
      <c r="Z2031" s="1060"/>
    </row>
    <row r="2032" spans="25:26">
      <c r="Y2032" s="1354"/>
      <c r="Z2032" s="1060"/>
    </row>
    <row r="2033" spans="25:26">
      <c r="Y2033" s="1354"/>
      <c r="Z2033" s="1060"/>
    </row>
    <row r="2034" spans="25:26">
      <c r="Y2034" s="1354"/>
      <c r="Z2034" s="1060"/>
    </row>
    <row r="2035" spans="25:26">
      <c r="Y2035" s="1354"/>
      <c r="Z2035" s="1060"/>
    </row>
    <row r="2036" spans="25:26">
      <c r="Y2036" s="1354"/>
      <c r="Z2036" s="1060"/>
    </row>
    <row r="2037" spans="25:26">
      <c r="Y2037" s="1354"/>
      <c r="Z2037" s="1060"/>
    </row>
    <row r="2038" spans="25:26">
      <c r="Y2038" s="1354"/>
      <c r="Z2038" s="1060"/>
    </row>
    <row r="2039" spans="25:26">
      <c r="Y2039" s="1354"/>
      <c r="Z2039" s="1060"/>
    </row>
    <row r="2040" spans="25:26">
      <c r="Y2040" s="1354"/>
      <c r="Z2040" s="1060"/>
    </row>
    <row r="2041" spans="25:26">
      <c r="Y2041" s="1354"/>
      <c r="Z2041" s="1060"/>
    </row>
    <row r="2042" spans="25:26">
      <c r="Y2042" s="1354"/>
      <c r="Z2042" s="1060"/>
    </row>
    <row r="2043" spans="25:26">
      <c r="Y2043" s="1354"/>
      <c r="Z2043" s="1060"/>
    </row>
    <row r="2044" spans="25:26">
      <c r="Y2044" s="1354"/>
      <c r="Z2044" s="1060"/>
    </row>
    <row r="2045" spans="25:26">
      <c r="Y2045" s="1354"/>
      <c r="Z2045" s="1060"/>
    </row>
    <row r="2046" spans="25:26">
      <c r="Y2046" s="1354"/>
      <c r="Z2046" s="1060"/>
    </row>
    <row r="2047" spans="25:26">
      <c r="Y2047" s="1354"/>
      <c r="Z2047" s="1060"/>
    </row>
    <row r="2048" spans="25:26">
      <c r="Y2048" s="1354"/>
      <c r="Z2048" s="1060"/>
    </row>
    <row r="2049" spans="25:26">
      <c r="Y2049" s="1354"/>
      <c r="Z2049" s="1060"/>
    </row>
    <row r="2050" spans="25:26">
      <c r="Y2050" s="1354"/>
      <c r="Z2050" s="1060"/>
    </row>
    <row r="2051" spans="25:26">
      <c r="Y2051" s="1354"/>
      <c r="Z2051" s="1060"/>
    </row>
    <row r="2052" spans="25:26">
      <c r="Y2052" s="1354"/>
      <c r="Z2052" s="1060"/>
    </row>
    <row r="2053" spans="25:26">
      <c r="Y2053" s="1354"/>
      <c r="Z2053" s="1060"/>
    </row>
    <row r="2054" spans="25:26">
      <c r="Y2054" s="1354"/>
      <c r="Z2054" s="1060"/>
    </row>
    <row r="2055" spans="25:26">
      <c r="Y2055" s="1354"/>
      <c r="Z2055" s="1060"/>
    </row>
    <row r="2056" spans="25:26">
      <c r="Y2056" s="1354"/>
      <c r="Z2056" s="1060"/>
    </row>
    <row r="2057" spans="25:26">
      <c r="Y2057" s="1354"/>
      <c r="Z2057" s="1060"/>
    </row>
    <row r="2058" spans="25:26">
      <c r="Y2058" s="1354"/>
      <c r="Z2058" s="1060"/>
    </row>
    <row r="2059" spans="25:26">
      <c r="Y2059" s="1354"/>
      <c r="Z2059" s="1060"/>
    </row>
    <row r="2060" spans="25:26">
      <c r="Y2060" s="1354"/>
      <c r="Z2060" s="1060"/>
    </row>
    <row r="2061" spans="25:26">
      <c r="Y2061" s="1354"/>
      <c r="Z2061" s="1060"/>
    </row>
    <row r="2062" spans="25:26">
      <c r="Y2062" s="1354"/>
      <c r="Z2062" s="1060"/>
    </row>
    <row r="2063" spans="25:26">
      <c r="Y2063" s="1354"/>
      <c r="Z2063" s="1060"/>
    </row>
    <row r="2064" spans="25:26">
      <c r="Y2064" s="1354"/>
      <c r="Z2064" s="1060"/>
    </row>
    <row r="2065" spans="25:26">
      <c r="Y2065" s="1354"/>
      <c r="Z2065" s="1060"/>
    </row>
    <row r="2066" spans="25:26">
      <c r="Y2066" s="1354"/>
      <c r="Z2066" s="1060"/>
    </row>
    <row r="2067" spans="25:26">
      <c r="Y2067" s="1354"/>
      <c r="Z2067" s="1060"/>
    </row>
    <row r="2068" spans="25:26">
      <c r="Y2068" s="1354"/>
      <c r="Z2068" s="1060"/>
    </row>
    <row r="2069" spans="25:26">
      <c r="Y2069" s="1354"/>
      <c r="Z2069" s="1060"/>
    </row>
    <row r="2070" spans="25:26">
      <c r="Y2070" s="1354"/>
      <c r="Z2070" s="1060"/>
    </row>
    <row r="2071" spans="25:26">
      <c r="Y2071" s="1354"/>
      <c r="Z2071" s="1060"/>
    </row>
    <row r="2072" spans="25:26">
      <c r="Y2072" s="1354"/>
      <c r="Z2072" s="1060"/>
    </row>
    <row r="2073" spans="25:26">
      <c r="Y2073" s="1354"/>
      <c r="Z2073" s="1060"/>
    </row>
    <row r="2074" spans="25:26">
      <c r="Y2074" s="1354"/>
      <c r="Z2074" s="1060"/>
    </row>
    <row r="2075" spans="25:26">
      <c r="Y2075" s="1354"/>
      <c r="Z2075" s="1060"/>
    </row>
    <row r="2076" spans="25:26">
      <c r="Y2076" s="1354"/>
      <c r="Z2076" s="1060"/>
    </row>
    <row r="2077" spans="25:26">
      <c r="Y2077" s="1354"/>
      <c r="Z2077" s="1060"/>
    </row>
    <row r="2078" spans="25:26">
      <c r="Y2078" s="1354"/>
      <c r="Z2078" s="1060"/>
    </row>
    <row r="2079" spans="25:26">
      <c r="Y2079" s="1354"/>
      <c r="Z2079" s="1060"/>
    </row>
    <row r="2080" spans="25:26">
      <c r="Y2080" s="1354"/>
      <c r="Z2080" s="1060"/>
    </row>
    <row r="2081" spans="25:26">
      <c r="Y2081" s="1354"/>
      <c r="Z2081" s="1060"/>
    </row>
    <row r="2082" spans="25:26">
      <c r="Y2082" s="1354"/>
      <c r="Z2082" s="1060"/>
    </row>
    <row r="2083" spans="25:26">
      <c r="Y2083" s="1354"/>
      <c r="Z2083" s="1060"/>
    </row>
    <row r="2084" spans="25:26">
      <c r="Y2084" s="1354"/>
      <c r="Z2084" s="1060"/>
    </row>
    <row r="2085" spans="25:26">
      <c r="Y2085" s="1354"/>
      <c r="Z2085" s="1060"/>
    </row>
    <row r="2086" spans="25:26">
      <c r="Y2086" s="1354"/>
      <c r="Z2086" s="1060"/>
    </row>
    <row r="2087" spans="25:26">
      <c r="Y2087" s="1354"/>
      <c r="Z2087" s="1060"/>
    </row>
    <row r="2088" spans="25:26">
      <c r="Y2088" s="1354"/>
      <c r="Z2088" s="1060"/>
    </row>
    <row r="2089" spans="25:26">
      <c r="Y2089" s="1354"/>
      <c r="Z2089" s="1060"/>
    </row>
    <row r="2090" spans="25:26">
      <c r="Y2090" s="1354"/>
      <c r="Z2090" s="1060"/>
    </row>
    <row r="2091" spans="25:26">
      <c r="Y2091" s="1354"/>
      <c r="Z2091" s="1060"/>
    </row>
    <row r="2092" spans="25:26">
      <c r="Y2092" s="1354"/>
      <c r="Z2092" s="1060"/>
    </row>
    <row r="2093" spans="25:26">
      <c r="Y2093" s="1354"/>
      <c r="Z2093" s="1060"/>
    </row>
    <row r="2094" spans="25:26">
      <c r="Y2094" s="1354"/>
      <c r="Z2094" s="1060"/>
    </row>
    <row r="2095" spans="25:26">
      <c r="Y2095" s="1354"/>
      <c r="Z2095" s="1060"/>
    </row>
    <row r="2096" spans="25:26">
      <c r="Y2096" s="1354"/>
      <c r="Z2096" s="1060"/>
    </row>
    <row r="2097" spans="25:26">
      <c r="Y2097" s="1354"/>
      <c r="Z2097" s="1060"/>
    </row>
    <row r="2098" spans="25:26">
      <c r="Y2098" s="1354"/>
      <c r="Z2098" s="1060"/>
    </row>
    <row r="2099" spans="25:26">
      <c r="Y2099" s="1354"/>
      <c r="Z2099" s="1060"/>
    </row>
    <row r="2100" spans="25:26">
      <c r="Y2100" s="1354"/>
      <c r="Z2100" s="1060"/>
    </row>
    <row r="2101" spans="25:26">
      <c r="Y2101" s="1354"/>
      <c r="Z2101" s="1060"/>
    </row>
    <row r="2102" spans="25:26">
      <c r="Y2102" s="1354"/>
      <c r="Z2102" s="1060"/>
    </row>
    <row r="2103" spans="25:26">
      <c r="Y2103" s="1354"/>
      <c r="Z2103" s="1060"/>
    </row>
    <row r="2104" spans="25:26">
      <c r="Y2104" s="1354"/>
      <c r="Z2104" s="1060"/>
    </row>
    <row r="2105" spans="25:26">
      <c r="Y2105" s="1354"/>
      <c r="Z2105" s="1060"/>
    </row>
    <row r="2106" spans="25:26">
      <c r="Y2106" s="1354"/>
      <c r="Z2106" s="1060"/>
    </row>
    <row r="2107" spans="25:26">
      <c r="Y2107" s="1354"/>
      <c r="Z2107" s="1060"/>
    </row>
    <row r="2108" spans="25:26">
      <c r="Y2108" s="1354"/>
      <c r="Z2108" s="1060"/>
    </row>
    <row r="2109" spans="25:26">
      <c r="Y2109" s="1354"/>
      <c r="Z2109" s="1060"/>
    </row>
    <row r="2110" spans="25:26">
      <c r="Y2110" s="1354"/>
      <c r="Z2110" s="1060"/>
    </row>
    <row r="2111" spans="25:26">
      <c r="Y2111" s="1354"/>
      <c r="Z2111" s="1060"/>
    </row>
    <row r="2112" spans="25:26">
      <c r="Y2112" s="1354"/>
      <c r="Z2112" s="1060"/>
    </row>
    <row r="2113" spans="25:26">
      <c r="Y2113" s="1354"/>
      <c r="Z2113" s="1060"/>
    </row>
    <row r="2114" spans="25:26">
      <c r="Y2114" s="1354"/>
      <c r="Z2114" s="1060"/>
    </row>
    <row r="2115" spans="25:26">
      <c r="Y2115" s="1354"/>
      <c r="Z2115" s="1060"/>
    </row>
    <row r="2116" spans="25:26">
      <c r="Y2116" s="1354"/>
      <c r="Z2116" s="1060"/>
    </row>
    <row r="2117" spans="25:26">
      <c r="Y2117" s="1354"/>
      <c r="Z2117" s="1060"/>
    </row>
    <row r="2118" spans="25:26">
      <c r="Y2118" s="1354"/>
      <c r="Z2118" s="1060"/>
    </row>
    <row r="2119" spans="25:26">
      <c r="Y2119" s="1354"/>
      <c r="Z2119" s="1060"/>
    </row>
    <row r="2120" spans="25:26">
      <c r="Y2120" s="1354"/>
      <c r="Z2120" s="1060"/>
    </row>
    <row r="2121" spans="25:26">
      <c r="Y2121" s="1354"/>
      <c r="Z2121" s="1060"/>
    </row>
    <row r="2122" spans="25:26">
      <c r="Y2122" s="1354"/>
      <c r="Z2122" s="1060"/>
    </row>
    <row r="2123" spans="25:26">
      <c r="Y2123" s="1354"/>
      <c r="Z2123" s="1060"/>
    </row>
    <row r="2124" spans="25:26">
      <c r="Y2124" s="1354"/>
      <c r="Z2124" s="1060"/>
    </row>
    <row r="2125" spans="25:26">
      <c r="Y2125" s="1354"/>
      <c r="Z2125" s="1060"/>
    </row>
    <row r="2126" spans="25:26">
      <c r="Y2126" s="1354"/>
      <c r="Z2126" s="1060"/>
    </row>
    <row r="2127" spans="25:26">
      <c r="Y2127" s="1354"/>
      <c r="Z2127" s="1060"/>
    </row>
    <row r="2128" spans="25:26">
      <c r="Y2128" s="1354"/>
      <c r="Z2128" s="1060"/>
    </row>
    <row r="2129" spans="25:26">
      <c r="Y2129" s="1354"/>
      <c r="Z2129" s="1060"/>
    </row>
    <row r="2130" spans="25:26">
      <c r="Y2130" s="1354"/>
      <c r="Z2130" s="1060"/>
    </row>
    <row r="2131" spans="25:26">
      <c r="Y2131" s="1354"/>
      <c r="Z2131" s="1060"/>
    </row>
    <row r="2132" spans="25:26">
      <c r="Y2132" s="1354"/>
      <c r="Z2132" s="1060"/>
    </row>
    <row r="2133" spans="25:26">
      <c r="Y2133" s="1354"/>
      <c r="Z2133" s="1060"/>
    </row>
    <row r="2134" spans="25:26">
      <c r="Y2134" s="1354"/>
      <c r="Z2134" s="1060"/>
    </row>
    <row r="2135" spans="25:26">
      <c r="Y2135" s="1354"/>
      <c r="Z2135" s="1060"/>
    </row>
    <row r="2136" spans="25:26">
      <c r="Y2136" s="1354"/>
      <c r="Z2136" s="1060"/>
    </row>
    <row r="2137" spans="25:26">
      <c r="Y2137" s="1354"/>
      <c r="Z2137" s="1060"/>
    </row>
    <row r="2138" spans="25:26">
      <c r="Y2138" s="1354"/>
      <c r="Z2138" s="1060"/>
    </row>
    <row r="2139" spans="25:26">
      <c r="Y2139" s="1354"/>
      <c r="Z2139" s="1060"/>
    </row>
    <row r="2140" spans="25:26">
      <c r="Y2140" s="1354"/>
      <c r="Z2140" s="1060"/>
    </row>
    <row r="2141" spans="25:26">
      <c r="Y2141" s="1354"/>
      <c r="Z2141" s="1060"/>
    </row>
    <row r="2142" spans="25:26">
      <c r="Y2142" s="1354"/>
      <c r="Z2142" s="1060"/>
    </row>
    <row r="2143" spans="25:26">
      <c r="Y2143" s="1354"/>
      <c r="Z2143" s="1060"/>
    </row>
    <row r="2144" spans="25:26">
      <c r="Y2144" s="1354"/>
      <c r="Z2144" s="1060"/>
    </row>
    <row r="2145" spans="25:26">
      <c r="Y2145" s="1354"/>
      <c r="Z2145" s="1060"/>
    </row>
    <row r="2146" spans="25:26">
      <c r="Y2146" s="1354"/>
      <c r="Z2146" s="1060"/>
    </row>
    <row r="2147" spans="25:26">
      <c r="Y2147" s="1354"/>
      <c r="Z2147" s="1060"/>
    </row>
    <row r="2148" spans="25:26">
      <c r="Y2148" s="1354"/>
      <c r="Z2148" s="1060"/>
    </row>
    <row r="2149" spans="25:26">
      <c r="Y2149" s="1354"/>
      <c r="Z2149" s="1060"/>
    </row>
    <row r="2150" spans="25:26">
      <c r="Y2150" s="1354"/>
      <c r="Z2150" s="1060"/>
    </row>
    <row r="2151" spans="25:26">
      <c r="Y2151" s="1354"/>
      <c r="Z2151" s="1060"/>
    </row>
    <row r="2152" spans="25:26">
      <c r="Y2152" s="1354"/>
      <c r="Z2152" s="1060"/>
    </row>
    <row r="2153" spans="25:26">
      <c r="Y2153" s="1354"/>
      <c r="Z2153" s="1060"/>
    </row>
    <row r="2154" spans="25:26">
      <c r="Y2154" s="1354"/>
      <c r="Z2154" s="1060"/>
    </row>
    <row r="2155" spans="25:26">
      <c r="Y2155" s="1354"/>
      <c r="Z2155" s="1060"/>
    </row>
    <row r="2156" spans="25:26">
      <c r="Y2156" s="1354"/>
      <c r="Z2156" s="1060"/>
    </row>
    <row r="2157" spans="25:26">
      <c r="Y2157" s="1354"/>
      <c r="Z2157" s="1060"/>
    </row>
    <row r="2158" spans="25:26">
      <c r="Y2158" s="1354"/>
      <c r="Z2158" s="1060"/>
    </row>
    <row r="2159" spans="25:26">
      <c r="Y2159" s="1354"/>
      <c r="Z2159" s="1060"/>
    </row>
    <row r="2160" spans="25:26">
      <c r="Y2160" s="1354"/>
      <c r="Z2160" s="1060"/>
    </row>
    <row r="2161" spans="25:26">
      <c r="Y2161" s="1354"/>
      <c r="Z2161" s="1060"/>
    </row>
    <row r="2162" spans="25:26">
      <c r="Y2162" s="1354"/>
      <c r="Z2162" s="1060"/>
    </row>
    <row r="2163" spans="25:26">
      <c r="Y2163" s="1354"/>
      <c r="Z2163" s="1060"/>
    </row>
    <row r="2164" spans="25:26">
      <c r="Y2164" s="1354"/>
      <c r="Z2164" s="1060"/>
    </row>
    <row r="2165" spans="25:26">
      <c r="Y2165" s="1354"/>
      <c r="Z2165" s="1060"/>
    </row>
    <row r="2166" spans="25:26">
      <c r="Y2166" s="1354"/>
      <c r="Z2166" s="1060"/>
    </row>
    <row r="2167" spans="25:26">
      <c r="Y2167" s="1354"/>
      <c r="Z2167" s="1060"/>
    </row>
    <row r="2168" spans="25:26">
      <c r="Y2168" s="1354"/>
      <c r="Z2168" s="1060"/>
    </row>
    <row r="2169" spans="25:26">
      <c r="Y2169" s="1354"/>
      <c r="Z2169" s="1060"/>
    </row>
    <row r="2170" spans="25:26">
      <c r="Y2170" s="1354"/>
      <c r="Z2170" s="1060"/>
    </row>
    <row r="2171" spans="25:26">
      <c r="Y2171" s="1354"/>
      <c r="Z2171" s="1060"/>
    </row>
    <row r="2172" spans="25:26">
      <c r="Y2172" s="1354"/>
      <c r="Z2172" s="1060"/>
    </row>
    <row r="2173" spans="25:26">
      <c r="Y2173" s="1354"/>
      <c r="Z2173" s="1060"/>
    </row>
    <row r="2174" spans="25:26">
      <c r="Y2174" s="1354"/>
      <c r="Z2174" s="1060"/>
    </row>
    <row r="2175" spans="25:26">
      <c r="Y2175" s="1354"/>
      <c r="Z2175" s="1060"/>
    </row>
    <row r="2176" spans="25:26">
      <c r="Y2176" s="1354"/>
      <c r="Z2176" s="1060"/>
    </row>
    <row r="2177" spans="25:26">
      <c r="Y2177" s="1354"/>
      <c r="Z2177" s="1060"/>
    </row>
    <row r="2178" spans="25:26">
      <c r="Y2178" s="1354"/>
      <c r="Z2178" s="1060"/>
    </row>
    <row r="2179" spans="25:26">
      <c r="Y2179" s="1354"/>
      <c r="Z2179" s="1060"/>
    </row>
    <row r="2180" spans="25:26">
      <c r="Y2180" s="1354"/>
      <c r="Z2180" s="1060"/>
    </row>
    <row r="2181" spans="25:26">
      <c r="Y2181" s="1354"/>
      <c r="Z2181" s="1060"/>
    </row>
    <row r="2182" spans="25:26">
      <c r="Y2182" s="1354"/>
      <c r="Z2182" s="1060"/>
    </row>
    <row r="2183" spans="25:26">
      <c r="Y2183" s="1354"/>
      <c r="Z2183" s="1060"/>
    </row>
    <row r="2184" spans="25:26">
      <c r="Y2184" s="1354"/>
      <c r="Z2184" s="1060"/>
    </row>
    <row r="2185" spans="25:26">
      <c r="Y2185" s="1354"/>
      <c r="Z2185" s="1060"/>
    </row>
    <row r="2186" spans="25:26">
      <c r="Y2186" s="1354"/>
      <c r="Z2186" s="1060"/>
    </row>
    <row r="2187" spans="25:26">
      <c r="Y2187" s="1354"/>
      <c r="Z2187" s="1060"/>
    </row>
    <row r="2188" spans="25:26">
      <c r="Y2188" s="1354"/>
      <c r="Z2188" s="1060"/>
    </row>
    <row r="2189" spans="25:26">
      <c r="Y2189" s="1354"/>
      <c r="Z2189" s="1060"/>
    </row>
    <row r="2190" spans="25:26">
      <c r="Y2190" s="1354"/>
      <c r="Z2190" s="1060"/>
    </row>
    <row r="2191" spans="25:26">
      <c r="Y2191" s="1354"/>
      <c r="Z2191" s="1060"/>
    </row>
    <row r="2192" spans="25:26">
      <c r="Y2192" s="1354"/>
      <c r="Z2192" s="1060"/>
    </row>
    <row r="2193" spans="25:26">
      <c r="Y2193" s="1354"/>
      <c r="Z2193" s="1060"/>
    </row>
    <row r="2194" spans="25:26">
      <c r="Y2194" s="1354"/>
      <c r="Z2194" s="1060"/>
    </row>
    <row r="2195" spans="25:26">
      <c r="Y2195" s="1354"/>
      <c r="Z2195" s="1060"/>
    </row>
    <row r="2196" spans="25:26">
      <c r="Y2196" s="1354"/>
      <c r="Z2196" s="1060"/>
    </row>
    <row r="2197" spans="25:26">
      <c r="Y2197" s="1354"/>
      <c r="Z2197" s="1060"/>
    </row>
    <row r="2198" spans="25:26">
      <c r="Y2198" s="1354"/>
      <c r="Z2198" s="1060"/>
    </row>
    <row r="2199" spans="25:26">
      <c r="Y2199" s="1354"/>
      <c r="Z2199" s="1060"/>
    </row>
    <row r="2200" spans="25:26">
      <c r="Y2200" s="1354"/>
      <c r="Z2200" s="1060"/>
    </row>
    <row r="2201" spans="25:26">
      <c r="Y2201" s="1354"/>
      <c r="Z2201" s="1060"/>
    </row>
    <row r="2202" spans="25:26">
      <c r="Y2202" s="1354"/>
      <c r="Z2202" s="1060"/>
    </row>
    <row r="2203" spans="25:26">
      <c r="Y2203" s="1354"/>
      <c r="Z2203" s="1060"/>
    </row>
    <row r="2204" spans="25:26">
      <c r="Y2204" s="1354"/>
      <c r="Z2204" s="1060"/>
    </row>
    <row r="2205" spans="25:26">
      <c r="Y2205" s="1354"/>
      <c r="Z2205" s="1060"/>
    </row>
    <row r="2206" spans="25:26">
      <c r="Y2206" s="1354"/>
      <c r="Z2206" s="1060"/>
    </row>
    <row r="2207" spans="25:26">
      <c r="Y2207" s="1354"/>
      <c r="Z2207" s="1060"/>
    </row>
    <row r="2208" spans="25:26">
      <c r="Y2208" s="1354"/>
      <c r="Z2208" s="1060"/>
    </row>
    <row r="2209" spans="25:26">
      <c r="Y2209" s="1354"/>
      <c r="Z2209" s="1060"/>
    </row>
    <row r="2210" spans="25:26">
      <c r="Y2210" s="1354"/>
      <c r="Z2210" s="1060"/>
    </row>
    <row r="2211" spans="25:26">
      <c r="Y2211" s="1354"/>
      <c r="Z2211" s="1060"/>
    </row>
    <row r="2212" spans="25:26">
      <c r="Y2212" s="1354"/>
      <c r="Z2212" s="1060"/>
    </row>
    <row r="2213" spans="25:26">
      <c r="Y2213" s="1354"/>
      <c r="Z2213" s="1060"/>
    </row>
    <row r="2214" spans="25:26">
      <c r="Y2214" s="1354"/>
      <c r="Z2214" s="1060"/>
    </row>
    <row r="2215" spans="25:26">
      <c r="Y2215" s="1354"/>
      <c r="Z2215" s="1060"/>
    </row>
    <row r="2216" spans="25:26">
      <c r="Y2216" s="1354"/>
      <c r="Z2216" s="1060"/>
    </row>
    <row r="2217" spans="25:26">
      <c r="Y2217" s="1354"/>
      <c r="Z2217" s="1060"/>
    </row>
    <row r="2218" spans="25:26">
      <c r="Y2218" s="1354"/>
      <c r="Z2218" s="1060"/>
    </row>
    <row r="2219" spans="25:26">
      <c r="Y2219" s="1354"/>
      <c r="Z2219" s="1060"/>
    </row>
    <row r="2220" spans="25:26">
      <c r="Y2220" s="1354"/>
      <c r="Z2220" s="1060"/>
    </row>
    <row r="2221" spans="25:26">
      <c r="Y2221" s="1354"/>
      <c r="Z2221" s="1060"/>
    </row>
    <row r="2222" spans="25:26">
      <c r="Y2222" s="1354"/>
      <c r="Z2222" s="1060"/>
    </row>
    <row r="2223" spans="25:26">
      <c r="Y2223" s="1354"/>
      <c r="Z2223" s="1060"/>
    </row>
    <row r="2224" spans="25:26">
      <c r="Y2224" s="1354"/>
      <c r="Z2224" s="1060"/>
    </row>
    <row r="2225" spans="25:26">
      <c r="Y2225" s="1354"/>
      <c r="Z2225" s="1060"/>
    </row>
    <row r="2226" spans="25:26">
      <c r="Y2226" s="1354"/>
      <c r="Z2226" s="1060"/>
    </row>
    <row r="2227" spans="25:26">
      <c r="Y2227" s="1354"/>
      <c r="Z2227" s="1060"/>
    </row>
    <row r="2228" spans="25:26">
      <c r="Y2228" s="1354"/>
      <c r="Z2228" s="1060"/>
    </row>
    <row r="2229" spans="25:26">
      <c r="Y2229" s="1354"/>
      <c r="Z2229" s="1060"/>
    </row>
    <row r="2230" spans="25:26">
      <c r="Y2230" s="1354"/>
      <c r="Z2230" s="1060"/>
    </row>
    <row r="2231" spans="25:26">
      <c r="Y2231" s="1354"/>
      <c r="Z2231" s="1060"/>
    </row>
    <row r="2232" spans="25:26">
      <c r="Y2232" s="1354"/>
      <c r="Z2232" s="1060"/>
    </row>
    <row r="2233" spans="25:26">
      <c r="Y2233" s="1354"/>
      <c r="Z2233" s="1060"/>
    </row>
    <row r="2234" spans="25:26">
      <c r="Y2234" s="1354"/>
      <c r="Z2234" s="1060"/>
    </row>
    <row r="2235" spans="25:26">
      <c r="Y2235" s="1354"/>
      <c r="Z2235" s="1060"/>
    </row>
    <row r="2236" spans="25:26">
      <c r="Y2236" s="1354"/>
      <c r="Z2236" s="1060"/>
    </row>
    <row r="2237" spans="25:26">
      <c r="Y2237" s="1354"/>
      <c r="Z2237" s="1060"/>
    </row>
    <row r="2238" spans="25:26">
      <c r="Y2238" s="1354"/>
      <c r="Z2238" s="1060"/>
    </row>
    <row r="2239" spans="25:26">
      <c r="Y2239" s="1354"/>
      <c r="Z2239" s="1060"/>
    </row>
    <row r="2240" spans="25:26">
      <c r="Y2240" s="1354"/>
      <c r="Z2240" s="1060"/>
    </row>
    <row r="2241" spans="25:26">
      <c r="Y2241" s="1354"/>
      <c r="Z2241" s="1060"/>
    </row>
    <row r="2242" spans="25:26">
      <c r="Y2242" s="1354"/>
      <c r="Z2242" s="1060"/>
    </row>
    <row r="2243" spans="25:26">
      <c r="Y2243" s="1354"/>
      <c r="Z2243" s="1060"/>
    </row>
    <row r="2244" spans="25:26">
      <c r="Y2244" s="1354"/>
      <c r="Z2244" s="1060"/>
    </row>
    <row r="2245" spans="25:26">
      <c r="Y2245" s="1354"/>
      <c r="Z2245" s="1060"/>
    </row>
    <row r="2246" spans="25:26">
      <c r="Y2246" s="1354"/>
      <c r="Z2246" s="1060"/>
    </row>
    <row r="2247" spans="25:26">
      <c r="Y2247" s="1354"/>
      <c r="Z2247" s="1060"/>
    </row>
    <row r="2248" spans="25:26">
      <c r="Y2248" s="1354"/>
      <c r="Z2248" s="1060"/>
    </row>
    <row r="2249" spans="25:26">
      <c r="Y2249" s="1354"/>
      <c r="Z2249" s="1060"/>
    </row>
    <row r="2250" spans="25:26">
      <c r="Y2250" s="1354"/>
      <c r="Z2250" s="1060"/>
    </row>
    <row r="2251" spans="25:26">
      <c r="Y2251" s="1354"/>
      <c r="Z2251" s="1060"/>
    </row>
    <row r="2252" spans="25:26">
      <c r="Y2252" s="1354"/>
      <c r="Z2252" s="1060"/>
    </row>
    <row r="2253" spans="25:26">
      <c r="Y2253" s="1354"/>
      <c r="Z2253" s="1060"/>
    </row>
    <row r="2254" spans="25:26">
      <c r="Y2254" s="1354"/>
      <c r="Z2254" s="1060"/>
    </row>
    <row r="2255" spans="25:26">
      <c r="Y2255" s="1354"/>
      <c r="Z2255" s="1060"/>
    </row>
    <row r="2256" spans="25:26">
      <c r="Y2256" s="1354"/>
      <c r="Z2256" s="1060"/>
    </row>
    <row r="2257" spans="25:26">
      <c r="Y2257" s="1354"/>
      <c r="Z2257" s="1060"/>
    </row>
    <row r="2258" spans="25:26">
      <c r="Y2258" s="1354"/>
      <c r="Z2258" s="1060"/>
    </row>
    <row r="2259" spans="25:26">
      <c r="Y2259" s="1354"/>
      <c r="Z2259" s="1060"/>
    </row>
    <row r="2260" spans="25:26">
      <c r="Y2260" s="1354"/>
      <c r="Z2260" s="1060"/>
    </row>
    <row r="2261" spans="25:26">
      <c r="Y2261" s="1354"/>
      <c r="Z2261" s="1060"/>
    </row>
    <row r="2262" spans="25:26">
      <c r="Y2262" s="1354"/>
      <c r="Z2262" s="1060"/>
    </row>
    <row r="2263" spans="25:26">
      <c r="Y2263" s="1354"/>
      <c r="Z2263" s="1060"/>
    </row>
    <row r="2264" spans="25:26">
      <c r="Y2264" s="1354"/>
      <c r="Z2264" s="1060"/>
    </row>
    <row r="2265" spans="25:26">
      <c r="Y2265" s="1354"/>
      <c r="Z2265" s="1060"/>
    </row>
    <row r="2266" spans="25:26">
      <c r="Y2266" s="1354"/>
      <c r="Z2266" s="1060"/>
    </row>
    <row r="2267" spans="25:26">
      <c r="Y2267" s="1354"/>
      <c r="Z2267" s="1060"/>
    </row>
    <row r="2268" spans="25:26">
      <c r="Y2268" s="1354"/>
      <c r="Z2268" s="1060"/>
    </row>
    <row r="2269" spans="25:26">
      <c r="Y2269" s="1354"/>
      <c r="Z2269" s="1060"/>
    </row>
    <row r="2270" spans="25:26">
      <c r="Y2270" s="1354"/>
      <c r="Z2270" s="1060"/>
    </row>
    <row r="2271" spans="25:26">
      <c r="Y2271" s="1354"/>
      <c r="Z2271" s="1060"/>
    </row>
    <row r="2272" spans="25:26">
      <c r="Y2272" s="1354"/>
      <c r="Z2272" s="1060"/>
    </row>
    <row r="2273" spans="25:26">
      <c r="Y2273" s="1354"/>
      <c r="Z2273" s="1060"/>
    </row>
    <row r="2274" spans="25:26">
      <c r="Y2274" s="1354"/>
      <c r="Z2274" s="1060"/>
    </row>
    <row r="2275" spans="25:26">
      <c r="Y2275" s="1354"/>
      <c r="Z2275" s="1060"/>
    </row>
    <row r="2276" spans="25:26">
      <c r="Y2276" s="1354"/>
      <c r="Z2276" s="1060"/>
    </row>
    <row r="2277" spans="25:26">
      <c r="Y2277" s="1354"/>
      <c r="Z2277" s="1060"/>
    </row>
    <row r="2278" spans="25:26">
      <c r="Y2278" s="1354"/>
      <c r="Z2278" s="1060"/>
    </row>
    <row r="2279" spans="25:26">
      <c r="Y2279" s="1354"/>
      <c r="Z2279" s="1060"/>
    </row>
    <row r="2280" spans="25:26">
      <c r="Y2280" s="1354"/>
      <c r="Z2280" s="1060"/>
    </row>
    <row r="2281" spans="25:26">
      <c r="Y2281" s="1354"/>
      <c r="Z2281" s="1060"/>
    </row>
    <row r="2282" spans="25:26">
      <c r="Y2282" s="1354"/>
      <c r="Z2282" s="1060"/>
    </row>
    <row r="2283" spans="25:26">
      <c r="Y2283" s="1354"/>
      <c r="Z2283" s="1060"/>
    </row>
    <row r="2284" spans="25:26">
      <c r="Y2284" s="1354"/>
      <c r="Z2284" s="1060"/>
    </row>
    <row r="2285" spans="25:26">
      <c r="Y2285" s="1354"/>
      <c r="Z2285" s="1060"/>
    </row>
    <row r="2286" spans="25:26">
      <c r="Y2286" s="1354"/>
      <c r="Z2286" s="1060"/>
    </row>
    <row r="2287" spans="25:26">
      <c r="Y2287" s="1354"/>
      <c r="Z2287" s="1060"/>
    </row>
    <row r="2288" spans="25:26">
      <c r="Y2288" s="1354"/>
      <c r="Z2288" s="1060"/>
    </row>
    <row r="2289" spans="25:26">
      <c r="Y2289" s="1354"/>
      <c r="Z2289" s="1060"/>
    </row>
    <row r="2290" spans="25:26">
      <c r="Y2290" s="1354"/>
      <c r="Z2290" s="1060"/>
    </row>
    <row r="2291" spans="25:26">
      <c r="Y2291" s="1354"/>
      <c r="Z2291" s="1060"/>
    </row>
    <row r="2292" spans="25:26">
      <c r="Y2292" s="1354"/>
      <c r="Z2292" s="1060"/>
    </row>
    <row r="2293" spans="25:26">
      <c r="Y2293" s="1354"/>
      <c r="Z2293" s="1060"/>
    </row>
    <row r="2294" spans="25:26">
      <c r="Y2294" s="1354"/>
      <c r="Z2294" s="1060"/>
    </row>
    <row r="2295" spans="25:26">
      <c r="Y2295" s="1354"/>
      <c r="Z2295" s="1060"/>
    </row>
    <row r="2296" spans="25:26">
      <c r="Y2296" s="1354"/>
      <c r="Z2296" s="1060"/>
    </row>
    <row r="2297" spans="25:26">
      <c r="Y2297" s="1354"/>
      <c r="Z2297" s="1060"/>
    </row>
    <row r="2298" spans="25:26">
      <c r="Y2298" s="1354"/>
      <c r="Z2298" s="1060"/>
    </row>
    <row r="2299" spans="25:26">
      <c r="Y2299" s="1354"/>
      <c r="Z2299" s="1060"/>
    </row>
    <row r="2300" spans="25:26">
      <c r="Y2300" s="1354"/>
      <c r="Z2300" s="1060"/>
    </row>
    <row r="2301" spans="25:26">
      <c r="Y2301" s="1354"/>
      <c r="Z2301" s="1060"/>
    </row>
    <row r="2302" spans="25:26">
      <c r="Y2302" s="1354"/>
      <c r="Z2302" s="1060"/>
    </row>
    <row r="2303" spans="25:26">
      <c r="Y2303" s="1354"/>
      <c r="Z2303" s="1060"/>
    </row>
    <row r="2304" spans="25:26">
      <c r="Y2304" s="1354"/>
      <c r="Z2304" s="1060"/>
    </row>
    <row r="2305" spans="25:26">
      <c r="Y2305" s="1354"/>
      <c r="Z2305" s="1060"/>
    </row>
    <row r="2306" spans="25:26">
      <c r="Y2306" s="1354"/>
      <c r="Z2306" s="1060"/>
    </row>
    <row r="2307" spans="25:26">
      <c r="Y2307" s="1354"/>
      <c r="Z2307" s="1060"/>
    </row>
    <row r="2308" spans="25:26">
      <c r="Y2308" s="1354"/>
      <c r="Z2308" s="1060"/>
    </row>
    <row r="2309" spans="25:26">
      <c r="Y2309" s="1354"/>
      <c r="Z2309" s="1060"/>
    </row>
    <row r="2310" spans="25:26">
      <c r="Y2310" s="1354"/>
      <c r="Z2310" s="1060"/>
    </row>
    <row r="2311" spans="25:26">
      <c r="Y2311" s="1354"/>
      <c r="Z2311" s="1060"/>
    </row>
    <row r="2312" spans="25:26">
      <c r="Y2312" s="1354"/>
      <c r="Z2312" s="1060"/>
    </row>
    <row r="2313" spans="25:26">
      <c r="Y2313" s="1354"/>
      <c r="Z2313" s="1060"/>
    </row>
    <row r="2314" spans="25:26">
      <c r="Y2314" s="1354"/>
      <c r="Z2314" s="1060"/>
    </row>
    <row r="2315" spans="25:26">
      <c r="Y2315" s="1354"/>
      <c r="Z2315" s="1060"/>
    </row>
    <row r="2316" spans="25:26">
      <c r="Y2316" s="1354"/>
      <c r="Z2316" s="1060"/>
    </row>
    <row r="2317" spans="25:26">
      <c r="Y2317" s="1354"/>
      <c r="Z2317" s="1060"/>
    </row>
    <row r="2318" spans="25:26">
      <c r="Y2318" s="1354"/>
      <c r="Z2318" s="1060"/>
    </row>
    <row r="2319" spans="25:26">
      <c r="Y2319" s="1354"/>
      <c r="Z2319" s="1060"/>
    </row>
    <row r="2320" spans="25:26">
      <c r="Y2320" s="1354"/>
      <c r="Z2320" s="1060"/>
    </row>
    <row r="2321" spans="25:26">
      <c r="Y2321" s="1354"/>
      <c r="Z2321" s="1060"/>
    </row>
    <row r="2322" spans="25:26">
      <c r="Y2322" s="1354"/>
      <c r="Z2322" s="1060"/>
    </row>
    <row r="2323" spans="25:26">
      <c r="Y2323" s="1354"/>
      <c r="Z2323" s="1060"/>
    </row>
    <row r="2324" spans="25:26">
      <c r="Y2324" s="1354"/>
      <c r="Z2324" s="1060"/>
    </row>
    <row r="2325" spans="25:26">
      <c r="Y2325" s="1354"/>
      <c r="Z2325" s="1060"/>
    </row>
    <row r="2326" spans="25:26">
      <c r="Y2326" s="1354"/>
      <c r="Z2326" s="1060"/>
    </row>
    <row r="2327" spans="25:26">
      <c r="Y2327" s="1354"/>
      <c r="Z2327" s="1060"/>
    </row>
    <row r="2328" spans="25:26">
      <c r="Y2328" s="1354"/>
      <c r="Z2328" s="1060"/>
    </row>
    <row r="2329" spans="25:26">
      <c r="Y2329" s="1354"/>
      <c r="Z2329" s="1060"/>
    </row>
    <row r="2330" spans="25:26">
      <c r="Y2330" s="1354"/>
      <c r="Z2330" s="1060"/>
    </row>
    <row r="2331" spans="25:26">
      <c r="Y2331" s="1354"/>
      <c r="Z2331" s="1060"/>
    </row>
    <row r="2332" spans="25:26">
      <c r="Y2332" s="1354"/>
      <c r="Z2332" s="1060"/>
    </row>
    <row r="2333" spans="25:26">
      <c r="Y2333" s="1354"/>
      <c r="Z2333" s="1060"/>
    </row>
    <row r="2334" spans="25:26">
      <c r="Y2334" s="1354"/>
      <c r="Z2334" s="1060"/>
    </row>
    <row r="2335" spans="25:26">
      <c r="Y2335" s="1354"/>
      <c r="Z2335" s="1060"/>
    </row>
    <row r="2336" spans="25:26">
      <c r="Y2336" s="1354"/>
      <c r="Z2336" s="1060"/>
    </row>
    <row r="2337" spans="25:26">
      <c r="Y2337" s="1354"/>
      <c r="Z2337" s="1060"/>
    </row>
    <row r="2338" spans="25:26">
      <c r="Y2338" s="1354"/>
      <c r="Z2338" s="1060"/>
    </row>
    <row r="2339" spans="25:26">
      <c r="Y2339" s="1354"/>
      <c r="Z2339" s="1060"/>
    </row>
    <row r="2340" spans="25:26">
      <c r="Y2340" s="1354"/>
      <c r="Z2340" s="1060"/>
    </row>
    <row r="2341" spans="25:26">
      <c r="Y2341" s="1354"/>
      <c r="Z2341" s="1060"/>
    </row>
    <row r="2342" spans="25:26">
      <c r="Y2342" s="1354"/>
      <c r="Z2342" s="1060"/>
    </row>
    <row r="2343" spans="25:26">
      <c r="Y2343" s="1354"/>
      <c r="Z2343" s="1060"/>
    </row>
    <row r="2344" spans="25:26">
      <c r="Y2344" s="1354"/>
      <c r="Z2344" s="1060"/>
    </row>
    <row r="2345" spans="25:26">
      <c r="Y2345" s="1354"/>
      <c r="Z2345" s="1060"/>
    </row>
    <row r="2346" spans="25:26">
      <c r="Y2346" s="1354"/>
      <c r="Z2346" s="1060"/>
    </row>
    <row r="2347" spans="25:26">
      <c r="Y2347" s="1354"/>
      <c r="Z2347" s="1060"/>
    </row>
    <row r="2348" spans="25:26">
      <c r="Y2348" s="1354"/>
      <c r="Z2348" s="1060"/>
    </row>
    <row r="2349" spans="25:26">
      <c r="Y2349" s="1354"/>
      <c r="Z2349" s="1060"/>
    </row>
    <row r="2350" spans="25:26">
      <c r="Y2350" s="1354"/>
      <c r="Z2350" s="1060"/>
    </row>
    <row r="2351" spans="25:26">
      <c r="Y2351" s="1354"/>
      <c r="Z2351" s="1060"/>
    </row>
    <row r="2352" spans="25:26">
      <c r="Y2352" s="1354"/>
      <c r="Z2352" s="1060"/>
    </row>
    <row r="2353" spans="25:26">
      <c r="Y2353" s="1354"/>
      <c r="Z2353" s="1060"/>
    </row>
    <row r="2354" spans="25:26">
      <c r="Y2354" s="1354"/>
      <c r="Z2354" s="1060"/>
    </row>
    <row r="2355" spans="25:26">
      <c r="Y2355" s="1354"/>
      <c r="Z2355" s="1060"/>
    </row>
    <row r="2356" spans="25:26">
      <c r="Y2356" s="1354"/>
      <c r="Z2356" s="1060"/>
    </row>
    <row r="2357" spans="25:26">
      <c r="Y2357" s="1354"/>
      <c r="Z2357" s="1060"/>
    </row>
    <row r="2358" spans="25:26">
      <c r="Y2358" s="1354"/>
      <c r="Z2358" s="1060"/>
    </row>
    <row r="2359" spans="25:26">
      <c r="Y2359" s="1354"/>
      <c r="Z2359" s="1060"/>
    </row>
    <row r="2360" spans="25:26">
      <c r="Y2360" s="1354"/>
      <c r="Z2360" s="1060"/>
    </row>
    <row r="2361" spans="25:26">
      <c r="Y2361" s="1354"/>
      <c r="Z2361" s="1060"/>
    </row>
    <row r="2362" spans="25:26">
      <c r="Y2362" s="1354"/>
      <c r="Z2362" s="1060"/>
    </row>
    <row r="2363" spans="25:26">
      <c r="Y2363" s="1354"/>
      <c r="Z2363" s="1060"/>
    </row>
    <row r="2364" spans="25:26">
      <c r="Y2364" s="1354"/>
      <c r="Z2364" s="1060"/>
    </row>
    <row r="2365" spans="25:26">
      <c r="Y2365" s="1354"/>
      <c r="Z2365" s="1060"/>
    </row>
    <row r="2366" spans="25:26">
      <c r="Y2366" s="1354"/>
      <c r="Z2366" s="1060"/>
    </row>
    <row r="2367" spans="25:26">
      <c r="Y2367" s="1354"/>
      <c r="Z2367" s="1060"/>
    </row>
    <row r="2368" spans="25:26">
      <c r="Y2368" s="1354"/>
      <c r="Z2368" s="1060"/>
    </row>
    <row r="2369" spans="25:26">
      <c r="Y2369" s="1354"/>
      <c r="Z2369" s="1060"/>
    </row>
    <row r="2370" spans="25:26">
      <c r="Y2370" s="1354"/>
      <c r="Z2370" s="1060"/>
    </row>
    <row r="2371" spans="25:26">
      <c r="Y2371" s="1354"/>
      <c r="Z2371" s="1060"/>
    </row>
    <row r="2372" spans="25:26">
      <c r="Y2372" s="1354"/>
      <c r="Z2372" s="1060"/>
    </row>
    <row r="2373" spans="25:26">
      <c r="Y2373" s="1354"/>
      <c r="Z2373" s="1060"/>
    </row>
    <row r="2374" spans="25:26">
      <c r="Y2374" s="1354"/>
      <c r="Z2374" s="1060"/>
    </row>
    <row r="2375" spans="25:26">
      <c r="Y2375" s="1354"/>
      <c r="Z2375" s="1060"/>
    </row>
    <row r="2376" spans="25:26">
      <c r="Y2376" s="1354"/>
      <c r="Z2376" s="1060"/>
    </row>
    <row r="2377" spans="25:26">
      <c r="Y2377" s="1354"/>
      <c r="Z2377" s="1060"/>
    </row>
    <row r="2378" spans="25:26">
      <c r="Y2378" s="1354"/>
      <c r="Z2378" s="1060"/>
    </row>
    <row r="2379" spans="25:26">
      <c r="Y2379" s="1354"/>
      <c r="Z2379" s="1060"/>
    </row>
    <row r="2380" spans="25:26">
      <c r="Y2380" s="1354"/>
      <c r="Z2380" s="1060"/>
    </row>
    <row r="2381" spans="25:26">
      <c r="Y2381" s="1354"/>
      <c r="Z2381" s="1060"/>
    </row>
    <row r="2382" spans="25:26">
      <c r="Y2382" s="1354"/>
      <c r="Z2382" s="1060"/>
    </row>
    <row r="2383" spans="25:26">
      <c r="Y2383" s="1354"/>
      <c r="Z2383" s="1060"/>
    </row>
    <row r="2384" spans="25:26">
      <c r="Y2384" s="1354"/>
      <c r="Z2384" s="1060"/>
    </row>
    <row r="2385" spans="25:26">
      <c r="Y2385" s="1354"/>
      <c r="Z2385" s="1060"/>
    </row>
    <row r="2386" spans="25:26">
      <c r="Y2386" s="1354"/>
      <c r="Z2386" s="1060"/>
    </row>
    <row r="2387" spans="25:26">
      <c r="Y2387" s="1354"/>
      <c r="Z2387" s="1060"/>
    </row>
    <row r="2388" spans="25:26">
      <c r="Y2388" s="1354"/>
      <c r="Z2388" s="1060"/>
    </row>
    <row r="2389" spans="25:26">
      <c r="Y2389" s="1354"/>
      <c r="Z2389" s="1060"/>
    </row>
    <row r="2390" spans="25:26">
      <c r="Y2390" s="1354"/>
      <c r="Z2390" s="1060"/>
    </row>
    <row r="2391" spans="25:26">
      <c r="Y2391" s="1354"/>
      <c r="Z2391" s="1060"/>
    </row>
    <row r="2392" spans="25:26">
      <c r="Y2392" s="1354"/>
      <c r="Z2392" s="1060"/>
    </row>
    <row r="2393" spans="25:26">
      <c r="Y2393" s="1354"/>
      <c r="Z2393" s="1060"/>
    </row>
    <row r="2394" spans="25:26">
      <c r="Y2394" s="1354"/>
      <c r="Z2394" s="1060"/>
    </row>
    <row r="2395" spans="25:26">
      <c r="Y2395" s="1354"/>
      <c r="Z2395" s="1060"/>
    </row>
    <row r="2396" spans="25:26">
      <c r="Y2396" s="1354"/>
      <c r="Z2396" s="1060"/>
    </row>
    <row r="2397" spans="25:26">
      <c r="Y2397" s="1354"/>
      <c r="Z2397" s="1060"/>
    </row>
    <row r="2398" spans="25:26">
      <c r="Y2398" s="1354"/>
      <c r="Z2398" s="1060"/>
    </row>
    <row r="2399" spans="25:26">
      <c r="Y2399" s="1354"/>
      <c r="Z2399" s="1060"/>
    </row>
    <row r="2400" spans="25:26">
      <c r="Y2400" s="1354"/>
      <c r="Z2400" s="1060"/>
    </row>
    <row r="2401" spans="25:26">
      <c r="Y2401" s="1354"/>
      <c r="Z2401" s="1060"/>
    </row>
    <row r="2402" spans="25:26">
      <c r="Y2402" s="1354"/>
      <c r="Z2402" s="1060"/>
    </row>
    <row r="2403" spans="25:26">
      <c r="Y2403" s="1354"/>
      <c r="Z2403" s="1060"/>
    </row>
    <row r="2404" spans="25:26">
      <c r="Y2404" s="1354"/>
      <c r="Z2404" s="1060"/>
    </row>
    <row r="2405" spans="25:26">
      <c r="Y2405" s="1354"/>
      <c r="Z2405" s="1060"/>
    </row>
    <row r="2406" spans="25:26">
      <c r="Y2406" s="1354"/>
      <c r="Z2406" s="1060"/>
    </row>
    <row r="2407" spans="25:26">
      <c r="Y2407" s="1354"/>
      <c r="Z2407" s="1060"/>
    </row>
    <row r="2408" spans="25:26">
      <c r="Y2408" s="1354"/>
      <c r="Z2408" s="1060"/>
    </row>
    <row r="2409" spans="25:26">
      <c r="Y2409" s="1354"/>
      <c r="Z2409" s="1060"/>
    </row>
    <row r="2410" spans="25:26">
      <c r="Y2410" s="1354"/>
      <c r="Z2410" s="1060"/>
    </row>
    <row r="2411" spans="25:26">
      <c r="Y2411" s="1354"/>
      <c r="Z2411" s="1060"/>
    </row>
    <row r="2412" spans="25:26">
      <c r="Y2412" s="1354"/>
      <c r="Z2412" s="1060"/>
    </row>
    <row r="2413" spans="25:26">
      <c r="Y2413" s="1354"/>
      <c r="Z2413" s="1060"/>
    </row>
    <row r="2414" spans="25:26">
      <c r="Y2414" s="1354"/>
      <c r="Z2414" s="1060"/>
    </row>
    <row r="2415" spans="25:26">
      <c r="Y2415" s="1354"/>
      <c r="Z2415" s="1060"/>
    </row>
    <row r="2416" spans="25:26">
      <c r="Y2416" s="1354"/>
      <c r="Z2416" s="1060"/>
    </row>
    <row r="2417" spans="25:26">
      <c r="Y2417" s="1354"/>
      <c r="Z2417" s="1060"/>
    </row>
    <row r="2418" spans="25:26">
      <c r="Y2418" s="1354"/>
      <c r="Z2418" s="1060"/>
    </row>
    <row r="2419" spans="25:26">
      <c r="Y2419" s="1354"/>
      <c r="Z2419" s="1060"/>
    </row>
    <row r="2420" spans="25:26">
      <c r="Y2420" s="1354"/>
      <c r="Z2420" s="1060"/>
    </row>
    <row r="2421" spans="25:26">
      <c r="Y2421" s="1354"/>
      <c r="Z2421" s="1060"/>
    </row>
    <row r="2422" spans="25:26">
      <c r="Y2422" s="1354"/>
      <c r="Z2422" s="1060"/>
    </row>
    <row r="2423" spans="25:26">
      <c r="Y2423" s="1354"/>
      <c r="Z2423" s="1060"/>
    </row>
    <row r="2424" spans="25:26">
      <c r="Y2424" s="1354"/>
      <c r="Z2424" s="1060"/>
    </row>
    <row r="2425" spans="25:26">
      <c r="Y2425" s="1354"/>
      <c r="Z2425" s="1060"/>
    </row>
    <row r="2426" spans="25:26">
      <c r="Y2426" s="1354"/>
      <c r="Z2426" s="1060"/>
    </row>
    <row r="2427" spans="25:26">
      <c r="Y2427" s="1354"/>
      <c r="Z2427" s="1060"/>
    </row>
    <row r="2428" spans="25:26">
      <c r="Y2428" s="1354"/>
      <c r="Z2428" s="1060"/>
    </row>
    <row r="2429" spans="25:26">
      <c r="Y2429" s="1354"/>
      <c r="Z2429" s="1060"/>
    </row>
    <row r="2430" spans="25:26">
      <c r="Y2430" s="1354"/>
      <c r="Z2430" s="1060"/>
    </row>
    <row r="2431" spans="25:26">
      <c r="Y2431" s="1354"/>
      <c r="Z2431" s="1060"/>
    </row>
    <row r="2432" spans="25:26">
      <c r="Y2432" s="1354"/>
      <c r="Z2432" s="1060"/>
    </row>
    <row r="2433" spans="25:26">
      <c r="Y2433" s="1354"/>
      <c r="Z2433" s="1060"/>
    </row>
    <row r="2434" spans="25:26">
      <c r="Y2434" s="1354"/>
      <c r="Z2434" s="1060"/>
    </row>
    <row r="2435" spans="25:26">
      <c r="Y2435" s="1354"/>
      <c r="Z2435" s="1060"/>
    </row>
    <row r="2436" spans="25:26">
      <c r="Y2436" s="1354"/>
      <c r="Z2436" s="1060"/>
    </row>
    <row r="2437" spans="25:26">
      <c r="Y2437" s="1354"/>
      <c r="Z2437" s="1060"/>
    </row>
    <row r="2438" spans="25:26">
      <c r="Y2438" s="1354"/>
      <c r="Z2438" s="1060"/>
    </row>
    <row r="2439" spans="25:26">
      <c r="Y2439" s="1354"/>
      <c r="Z2439" s="1060"/>
    </row>
    <row r="2440" spans="25:26">
      <c r="Y2440" s="1354"/>
      <c r="Z2440" s="1060"/>
    </row>
    <row r="2441" spans="25:26">
      <c r="Y2441" s="1354"/>
      <c r="Z2441" s="1060"/>
    </row>
    <row r="2442" spans="25:26">
      <c r="Y2442" s="1354"/>
      <c r="Z2442" s="1060"/>
    </row>
    <row r="2443" spans="25:26">
      <c r="Y2443" s="1354"/>
      <c r="Z2443" s="1060"/>
    </row>
    <row r="2444" spans="25:26">
      <c r="Y2444" s="1354"/>
      <c r="Z2444" s="1060"/>
    </row>
    <row r="2445" spans="25:26">
      <c r="Y2445" s="1354"/>
      <c r="Z2445" s="1060"/>
    </row>
    <row r="2446" spans="25:26">
      <c r="Y2446" s="1354"/>
      <c r="Z2446" s="1060"/>
    </row>
    <row r="2447" spans="25:26">
      <c r="Y2447" s="1354"/>
      <c r="Z2447" s="1060"/>
    </row>
    <row r="2448" spans="25:26">
      <c r="Y2448" s="1354"/>
      <c r="Z2448" s="1060"/>
    </row>
    <row r="2449" spans="25:26">
      <c r="Y2449" s="1354"/>
      <c r="Z2449" s="1060"/>
    </row>
    <row r="2450" spans="25:26">
      <c r="Y2450" s="1354"/>
      <c r="Z2450" s="1060"/>
    </row>
    <row r="2451" spans="25:26">
      <c r="Y2451" s="1354"/>
      <c r="Z2451" s="1060"/>
    </row>
    <row r="2452" spans="25:26">
      <c r="Y2452" s="1354"/>
      <c r="Z2452" s="1060"/>
    </row>
    <row r="2453" spans="25:26">
      <c r="Y2453" s="1354"/>
      <c r="Z2453" s="1060"/>
    </row>
    <row r="2454" spans="25:26">
      <c r="Y2454" s="1354"/>
      <c r="Z2454" s="1060"/>
    </row>
    <row r="2455" spans="25:26">
      <c r="Y2455" s="1354"/>
      <c r="Z2455" s="1060"/>
    </row>
    <row r="2456" spans="25:26">
      <c r="Y2456" s="1354"/>
      <c r="Z2456" s="1060"/>
    </row>
    <row r="2457" spans="25:26">
      <c r="Y2457" s="1354"/>
      <c r="Z2457" s="1060"/>
    </row>
    <row r="2458" spans="25:26">
      <c r="Y2458" s="1354"/>
      <c r="Z2458" s="1060"/>
    </row>
    <row r="2459" spans="25:26">
      <c r="Y2459" s="1354"/>
      <c r="Z2459" s="1060"/>
    </row>
    <row r="2460" spans="25:26">
      <c r="Y2460" s="1354"/>
      <c r="Z2460" s="1060"/>
    </row>
    <row r="2461" spans="25:26">
      <c r="Y2461" s="1354"/>
      <c r="Z2461" s="1060"/>
    </row>
    <row r="2462" spans="25:26">
      <c r="Y2462" s="1354"/>
      <c r="Z2462" s="1060"/>
    </row>
    <row r="2463" spans="25:26">
      <c r="Y2463" s="1354"/>
      <c r="Z2463" s="1060"/>
    </row>
    <row r="2464" spans="25:26">
      <c r="Y2464" s="1354"/>
      <c r="Z2464" s="1060"/>
    </row>
    <row r="2465" spans="25:26">
      <c r="Y2465" s="1354"/>
      <c r="Z2465" s="1060"/>
    </row>
    <row r="2466" spans="25:26">
      <c r="Y2466" s="1354"/>
      <c r="Z2466" s="1060"/>
    </row>
    <row r="2467" spans="25:26">
      <c r="Y2467" s="1354"/>
      <c r="Z2467" s="1060"/>
    </row>
    <row r="2468" spans="25:26">
      <c r="Y2468" s="1354"/>
      <c r="Z2468" s="1060"/>
    </row>
    <row r="2469" spans="25:26">
      <c r="Y2469" s="1354"/>
      <c r="Z2469" s="1060"/>
    </row>
    <row r="2470" spans="25:26">
      <c r="Y2470" s="1354"/>
      <c r="Z2470" s="1060"/>
    </row>
    <row r="2471" spans="25:26">
      <c r="Y2471" s="1354"/>
      <c r="Z2471" s="1060"/>
    </row>
    <row r="2472" spans="25:26">
      <c r="Y2472" s="1354"/>
      <c r="Z2472" s="1060"/>
    </row>
    <row r="2473" spans="25:26">
      <c r="Y2473" s="1354"/>
      <c r="Z2473" s="1060"/>
    </row>
    <row r="2474" spans="25:26">
      <c r="Y2474" s="1354"/>
      <c r="Z2474" s="1060"/>
    </row>
    <row r="2475" spans="25:26">
      <c r="Y2475" s="1354"/>
      <c r="Z2475" s="1060"/>
    </row>
    <row r="2476" spans="25:26">
      <c r="Y2476" s="1354"/>
      <c r="Z2476" s="1060"/>
    </row>
    <row r="2477" spans="25:26">
      <c r="Y2477" s="1354"/>
      <c r="Z2477" s="1060"/>
    </row>
    <row r="2478" spans="25:26">
      <c r="Y2478" s="1354"/>
      <c r="Z2478" s="1060"/>
    </row>
    <row r="2479" spans="25:26">
      <c r="Y2479" s="1354"/>
      <c r="Z2479" s="1060"/>
    </row>
    <row r="2480" spans="25:26">
      <c r="Y2480" s="1354"/>
      <c r="Z2480" s="1060"/>
    </row>
    <row r="2481" spans="25:26">
      <c r="Y2481" s="1354"/>
      <c r="Z2481" s="1060"/>
    </row>
    <row r="2482" spans="25:26">
      <c r="Y2482" s="1354"/>
      <c r="Z2482" s="1060"/>
    </row>
    <row r="2483" spans="25:26">
      <c r="Y2483" s="1354"/>
      <c r="Z2483" s="1060"/>
    </row>
    <row r="2484" spans="25:26">
      <c r="Y2484" s="1354"/>
      <c r="Z2484" s="1060"/>
    </row>
    <row r="2485" spans="25:26">
      <c r="Y2485" s="1354"/>
      <c r="Z2485" s="1060"/>
    </row>
    <row r="2486" spans="25:26">
      <c r="Y2486" s="1354"/>
      <c r="Z2486" s="1060"/>
    </row>
    <row r="2487" spans="25:26">
      <c r="Y2487" s="1354"/>
      <c r="Z2487" s="1060"/>
    </row>
    <row r="2488" spans="25:26">
      <c r="Y2488" s="1354"/>
      <c r="Z2488" s="1060"/>
    </row>
    <row r="2489" spans="25:26">
      <c r="Y2489" s="1354"/>
      <c r="Z2489" s="1060"/>
    </row>
    <row r="2490" spans="25:26">
      <c r="Y2490" s="1354"/>
      <c r="Z2490" s="1060"/>
    </row>
    <row r="2491" spans="25:26">
      <c r="Y2491" s="1354"/>
      <c r="Z2491" s="1060"/>
    </row>
    <row r="2492" spans="25:26">
      <c r="Y2492" s="1354"/>
      <c r="Z2492" s="1060"/>
    </row>
    <row r="2493" spans="25:26">
      <c r="Y2493" s="1354"/>
      <c r="Z2493" s="1060"/>
    </row>
    <row r="2494" spans="25:26">
      <c r="Y2494" s="1354"/>
      <c r="Z2494" s="1060"/>
    </row>
    <row r="2495" spans="25:26">
      <c r="Y2495" s="1354"/>
      <c r="Z2495" s="1060"/>
    </row>
    <row r="2496" spans="25:26">
      <c r="Y2496" s="1354"/>
      <c r="Z2496" s="1060"/>
    </row>
    <row r="2497" spans="25:26">
      <c r="Y2497" s="1354"/>
      <c r="Z2497" s="1060"/>
    </row>
    <row r="2498" spans="25:26">
      <c r="Y2498" s="1354"/>
      <c r="Z2498" s="1060"/>
    </row>
    <row r="2499" spans="25:26">
      <c r="Y2499" s="1354"/>
      <c r="Z2499" s="1060"/>
    </row>
    <row r="2500" spans="25:26">
      <c r="Y2500" s="1354"/>
      <c r="Z2500" s="1060"/>
    </row>
    <row r="2501" spans="25:26">
      <c r="Y2501" s="1354"/>
      <c r="Z2501" s="1060"/>
    </row>
    <row r="2502" spans="25:26">
      <c r="Y2502" s="1354"/>
      <c r="Z2502" s="1060"/>
    </row>
    <row r="2503" spans="25:26">
      <c r="Y2503" s="1354"/>
      <c r="Z2503" s="1060"/>
    </row>
    <row r="2504" spans="25:26">
      <c r="Y2504" s="1354"/>
      <c r="Z2504" s="1060"/>
    </row>
    <row r="2505" spans="25:26">
      <c r="Y2505" s="1354"/>
      <c r="Z2505" s="1060"/>
    </row>
    <row r="2506" spans="25:26">
      <c r="Y2506" s="1354"/>
      <c r="Z2506" s="1060"/>
    </row>
    <row r="2507" spans="25:26">
      <c r="Y2507" s="1354"/>
      <c r="Z2507" s="1060"/>
    </row>
    <row r="2508" spans="25:26">
      <c r="Y2508" s="1354"/>
      <c r="Z2508" s="1060"/>
    </row>
    <row r="2509" spans="25:26">
      <c r="Y2509" s="1354"/>
      <c r="Z2509" s="1060"/>
    </row>
    <row r="2510" spans="25:26">
      <c r="Y2510" s="1354"/>
      <c r="Z2510" s="1060"/>
    </row>
    <row r="2511" spans="25:26">
      <c r="Y2511" s="1354"/>
      <c r="Z2511" s="1060"/>
    </row>
    <row r="2512" spans="25:26">
      <c r="Y2512" s="1354"/>
      <c r="Z2512" s="1060"/>
    </row>
    <row r="2513" spans="25:26">
      <c r="Y2513" s="1354"/>
      <c r="Z2513" s="1060"/>
    </row>
    <row r="2514" spans="25:26">
      <c r="Y2514" s="1354"/>
      <c r="Z2514" s="1060"/>
    </row>
    <row r="2515" spans="25:26">
      <c r="Y2515" s="1354"/>
      <c r="Z2515" s="1060"/>
    </row>
    <row r="2516" spans="25:26">
      <c r="Y2516" s="1354"/>
      <c r="Z2516" s="1060"/>
    </row>
    <row r="2517" spans="25:26">
      <c r="Y2517" s="1354"/>
      <c r="Z2517" s="1060"/>
    </row>
    <row r="2518" spans="25:26">
      <c r="Y2518" s="1354"/>
      <c r="Z2518" s="1060"/>
    </row>
    <row r="2519" spans="25:26">
      <c r="Y2519" s="1354"/>
      <c r="Z2519" s="1060"/>
    </row>
    <row r="2520" spans="25:26">
      <c r="Y2520" s="1354"/>
      <c r="Z2520" s="1060"/>
    </row>
    <row r="2521" spans="25:26">
      <c r="Y2521" s="1354"/>
      <c r="Z2521" s="1060"/>
    </row>
    <row r="2522" spans="25:26">
      <c r="Y2522" s="1354"/>
      <c r="Z2522" s="1060"/>
    </row>
    <row r="2523" spans="25:26">
      <c r="Y2523" s="1354"/>
      <c r="Z2523" s="1060"/>
    </row>
    <row r="2524" spans="25:26">
      <c r="Y2524" s="1354"/>
      <c r="Z2524" s="1060"/>
    </row>
    <row r="2525" spans="25:26">
      <c r="Y2525" s="1354"/>
      <c r="Z2525" s="1060"/>
    </row>
    <row r="2526" spans="25:26">
      <c r="Y2526" s="1354"/>
      <c r="Z2526" s="1060"/>
    </row>
    <row r="2527" spans="25:26">
      <c r="Y2527" s="1354"/>
      <c r="Z2527" s="1060"/>
    </row>
    <row r="2528" spans="25:26">
      <c r="Y2528" s="1354"/>
      <c r="Z2528" s="1060"/>
    </row>
    <row r="2529" spans="25:26">
      <c r="Y2529" s="1354"/>
      <c r="Z2529" s="1060"/>
    </row>
    <row r="2530" spans="25:26">
      <c r="Y2530" s="1354"/>
      <c r="Z2530" s="1060"/>
    </row>
    <row r="2531" spans="25:26">
      <c r="Y2531" s="1354"/>
      <c r="Z2531" s="1060"/>
    </row>
    <row r="2532" spans="25:26">
      <c r="Y2532" s="1354"/>
      <c r="Z2532" s="1060"/>
    </row>
    <row r="2533" spans="25:26">
      <c r="Y2533" s="1354"/>
      <c r="Z2533" s="1060"/>
    </row>
    <row r="2534" spans="25:26">
      <c r="Y2534" s="1354"/>
      <c r="Z2534" s="1060"/>
    </row>
    <row r="2535" spans="25:26">
      <c r="Y2535" s="1354"/>
      <c r="Z2535" s="1060"/>
    </row>
    <row r="2536" spans="25:26">
      <c r="Y2536" s="1354"/>
      <c r="Z2536" s="1060"/>
    </row>
    <row r="2537" spans="25:26">
      <c r="Y2537" s="1354"/>
      <c r="Z2537" s="1060"/>
    </row>
    <row r="2538" spans="25:26">
      <c r="Y2538" s="1354"/>
      <c r="Z2538" s="1060"/>
    </row>
    <row r="2539" spans="25:26">
      <c r="Y2539" s="1354"/>
      <c r="Z2539" s="1060"/>
    </row>
    <row r="2540" spans="25:26">
      <c r="Y2540" s="1354"/>
      <c r="Z2540" s="1060"/>
    </row>
    <row r="2541" spans="25:26">
      <c r="Y2541" s="1354"/>
      <c r="Z2541" s="1060"/>
    </row>
    <row r="2542" spans="25:26">
      <c r="Y2542" s="1354"/>
      <c r="Z2542" s="1060"/>
    </row>
    <row r="2543" spans="25:26">
      <c r="Y2543" s="1354"/>
      <c r="Z2543" s="1060"/>
    </row>
    <row r="2544" spans="25:26">
      <c r="Y2544" s="1354"/>
      <c r="Z2544" s="1060"/>
    </row>
    <row r="2545" spans="25:26">
      <c r="Y2545" s="1354"/>
      <c r="Z2545" s="1060"/>
    </row>
    <row r="2546" spans="25:26">
      <c r="Y2546" s="1354"/>
      <c r="Z2546" s="1060"/>
    </row>
    <row r="2547" spans="25:26">
      <c r="Y2547" s="1354"/>
      <c r="Z2547" s="1060"/>
    </row>
    <row r="2548" spans="25:26">
      <c r="Y2548" s="1354"/>
      <c r="Z2548" s="1060"/>
    </row>
    <row r="2549" spans="25:26">
      <c r="Y2549" s="1354"/>
      <c r="Z2549" s="1060"/>
    </row>
    <row r="2550" spans="25:26">
      <c r="Y2550" s="1354"/>
      <c r="Z2550" s="1060"/>
    </row>
    <row r="2551" spans="25:26">
      <c r="Y2551" s="1354"/>
      <c r="Z2551" s="1060"/>
    </row>
    <row r="2552" spans="25:26">
      <c r="Y2552" s="1354"/>
      <c r="Z2552" s="1060"/>
    </row>
    <row r="2553" spans="25:26">
      <c r="Y2553" s="1354"/>
      <c r="Z2553" s="1060"/>
    </row>
    <row r="2554" spans="25:26">
      <c r="Y2554" s="1354"/>
      <c r="Z2554" s="1060"/>
    </row>
    <row r="2555" spans="25:26">
      <c r="Y2555" s="1354"/>
      <c r="Z2555" s="1060"/>
    </row>
    <row r="2556" spans="25:26">
      <c r="Y2556" s="1354"/>
      <c r="Z2556" s="1060"/>
    </row>
    <row r="2557" spans="25:26">
      <c r="Y2557" s="1354"/>
      <c r="Z2557" s="1060"/>
    </row>
    <row r="2558" spans="25:26">
      <c r="Y2558" s="1354"/>
      <c r="Z2558" s="1060"/>
    </row>
    <row r="2559" spans="25:26">
      <c r="Y2559" s="1354"/>
      <c r="Z2559" s="1060"/>
    </row>
    <row r="2560" spans="25:26">
      <c r="Y2560" s="1354"/>
      <c r="Z2560" s="1060"/>
    </row>
    <row r="2561" spans="25:26">
      <c r="Y2561" s="1354"/>
      <c r="Z2561" s="1060"/>
    </row>
    <row r="2562" spans="25:26">
      <c r="Y2562" s="1354"/>
      <c r="Z2562" s="1060"/>
    </row>
    <row r="2563" spans="25:26">
      <c r="Y2563" s="1354"/>
      <c r="Z2563" s="1060"/>
    </row>
    <row r="2564" spans="25:26">
      <c r="Y2564" s="1354"/>
      <c r="Z2564" s="1060"/>
    </row>
    <row r="2565" spans="25:26">
      <c r="Y2565" s="1354"/>
      <c r="Z2565" s="1060"/>
    </row>
    <row r="2566" spans="25:26">
      <c r="Y2566" s="1354"/>
      <c r="Z2566" s="1060"/>
    </row>
    <row r="2567" spans="25:26">
      <c r="Y2567" s="1354"/>
      <c r="Z2567" s="1060"/>
    </row>
    <row r="2568" spans="25:26">
      <c r="Y2568" s="1354"/>
      <c r="Z2568" s="1060"/>
    </row>
    <row r="2569" spans="25:26">
      <c r="Y2569" s="1354"/>
      <c r="Z2569" s="1060"/>
    </row>
    <row r="2570" spans="25:26">
      <c r="Y2570" s="1354"/>
      <c r="Z2570" s="1060"/>
    </row>
    <row r="2571" spans="25:26">
      <c r="Y2571" s="1354"/>
      <c r="Z2571" s="1060"/>
    </row>
    <row r="2572" spans="25:26">
      <c r="Y2572" s="1354"/>
      <c r="Z2572" s="1060"/>
    </row>
    <row r="2573" spans="25:26">
      <c r="Y2573" s="1354"/>
      <c r="Z2573" s="1060"/>
    </row>
    <row r="2574" spans="25:26">
      <c r="Y2574" s="1354"/>
      <c r="Z2574" s="1060"/>
    </row>
    <row r="2575" spans="25:26">
      <c r="Y2575" s="1354"/>
      <c r="Z2575" s="1060"/>
    </row>
    <row r="2576" spans="25:26">
      <c r="Y2576" s="1354"/>
      <c r="Z2576" s="1060"/>
    </row>
    <row r="2577" spans="25:26">
      <c r="Y2577" s="1354"/>
      <c r="Z2577" s="1060"/>
    </row>
    <row r="2578" spans="25:26">
      <c r="Y2578" s="1354"/>
      <c r="Z2578" s="1060"/>
    </row>
    <row r="2579" spans="25:26">
      <c r="Y2579" s="1354"/>
      <c r="Z2579" s="1060"/>
    </row>
    <row r="2580" spans="25:26">
      <c r="Y2580" s="1354"/>
      <c r="Z2580" s="1060"/>
    </row>
    <row r="2581" spans="25:26">
      <c r="Y2581" s="1354"/>
      <c r="Z2581" s="1060"/>
    </row>
    <row r="2582" spans="25:26">
      <c r="Y2582" s="1354"/>
      <c r="Z2582" s="1060"/>
    </row>
    <row r="2583" spans="25:26">
      <c r="Y2583" s="1354"/>
      <c r="Z2583" s="1060"/>
    </row>
    <row r="2584" spans="25:26">
      <c r="Y2584" s="1354"/>
      <c r="Z2584" s="1060"/>
    </row>
    <row r="2585" spans="25:26">
      <c r="Y2585" s="1354"/>
      <c r="Z2585" s="1060"/>
    </row>
    <row r="2586" spans="25:26">
      <c r="Y2586" s="1354"/>
      <c r="Z2586" s="1060"/>
    </row>
    <row r="2587" spans="25:26">
      <c r="Y2587" s="1354"/>
      <c r="Z2587" s="1060"/>
    </row>
    <row r="2588" spans="25:26">
      <c r="Y2588" s="1354"/>
      <c r="Z2588" s="1060"/>
    </row>
    <row r="2589" spans="25:26">
      <c r="Y2589" s="1354"/>
      <c r="Z2589" s="1060"/>
    </row>
    <row r="2590" spans="25:26">
      <c r="Y2590" s="1354"/>
      <c r="Z2590" s="1060"/>
    </row>
    <row r="2591" spans="25:26">
      <c r="Y2591" s="1354"/>
      <c r="Z2591" s="1060"/>
    </row>
    <row r="2592" spans="25:26">
      <c r="Y2592" s="1354"/>
      <c r="Z2592" s="1060"/>
    </row>
    <row r="2593" spans="25:26">
      <c r="Y2593" s="1354"/>
      <c r="Z2593" s="1060"/>
    </row>
    <row r="2594" spans="25:26">
      <c r="Y2594" s="1354"/>
      <c r="Z2594" s="1060"/>
    </row>
    <row r="2595" spans="25:26">
      <c r="Y2595" s="1354"/>
      <c r="Z2595" s="1060"/>
    </row>
    <row r="2596" spans="25:26">
      <c r="Y2596" s="1354"/>
      <c r="Z2596" s="1060"/>
    </row>
    <row r="2597" spans="25:26">
      <c r="Y2597" s="1354"/>
      <c r="Z2597" s="1060"/>
    </row>
    <row r="2598" spans="25:26">
      <c r="Y2598" s="1354"/>
      <c r="Z2598" s="1060"/>
    </row>
    <row r="2599" spans="25:26">
      <c r="Y2599" s="1354"/>
      <c r="Z2599" s="1060"/>
    </row>
    <row r="2600" spans="25:26">
      <c r="Y2600" s="1354"/>
      <c r="Z2600" s="1060"/>
    </row>
    <row r="2601" spans="25:26">
      <c r="Y2601" s="1354"/>
      <c r="Z2601" s="1060"/>
    </row>
    <row r="2602" spans="25:26">
      <c r="Y2602" s="1354"/>
      <c r="Z2602" s="1060"/>
    </row>
    <row r="2603" spans="25:26">
      <c r="Y2603" s="1354"/>
      <c r="Z2603" s="1060"/>
    </row>
    <row r="2604" spans="25:26">
      <c r="Y2604" s="1354"/>
      <c r="Z2604" s="1060"/>
    </row>
    <row r="2605" spans="25:26">
      <c r="Y2605" s="1354"/>
      <c r="Z2605" s="1060"/>
    </row>
    <row r="2606" spans="25:26">
      <c r="Y2606" s="1354"/>
      <c r="Z2606" s="1060"/>
    </row>
    <row r="2607" spans="25:26">
      <c r="Y2607" s="1354"/>
      <c r="Z2607" s="1060"/>
    </row>
    <row r="2608" spans="25:26">
      <c r="Y2608" s="1354"/>
      <c r="Z2608" s="1060"/>
    </row>
    <row r="2609" spans="25:26">
      <c r="Y2609" s="1354"/>
      <c r="Z2609" s="1060"/>
    </row>
    <row r="2610" spans="25:26">
      <c r="Y2610" s="1354"/>
      <c r="Z2610" s="1060"/>
    </row>
    <row r="2611" spans="25:26">
      <c r="Y2611" s="1354"/>
      <c r="Z2611" s="1060"/>
    </row>
    <row r="2612" spans="25:26">
      <c r="Y2612" s="1354"/>
      <c r="Z2612" s="1060"/>
    </row>
    <row r="2613" spans="25:26">
      <c r="Y2613" s="1354"/>
      <c r="Z2613" s="1060"/>
    </row>
    <row r="2614" spans="25:26">
      <c r="Y2614" s="1354"/>
      <c r="Z2614" s="1060"/>
    </row>
    <row r="2615" spans="25:26">
      <c r="Y2615" s="1354"/>
      <c r="Z2615" s="1060"/>
    </row>
    <row r="2616" spans="25:26">
      <c r="Y2616" s="1354"/>
      <c r="Z2616" s="1060"/>
    </row>
    <row r="2617" spans="25:26">
      <c r="Y2617" s="1354"/>
      <c r="Z2617" s="1060"/>
    </row>
    <row r="2618" spans="25:26">
      <c r="Y2618" s="1354"/>
      <c r="Z2618" s="1060"/>
    </row>
    <row r="2619" spans="25:26">
      <c r="Y2619" s="1354"/>
      <c r="Z2619" s="1060"/>
    </row>
    <row r="2620" spans="25:26">
      <c r="Y2620" s="1354"/>
      <c r="Z2620" s="1060"/>
    </row>
    <row r="2621" spans="25:26">
      <c r="Y2621" s="1354"/>
      <c r="Z2621" s="1060"/>
    </row>
    <row r="2622" spans="25:26">
      <c r="Y2622" s="1354"/>
      <c r="Z2622" s="1060"/>
    </row>
    <row r="2623" spans="25:26">
      <c r="Y2623" s="1354"/>
      <c r="Z2623" s="1060"/>
    </row>
    <row r="2624" spans="25:26">
      <c r="Y2624" s="1354"/>
      <c r="Z2624" s="1060"/>
    </row>
    <row r="2625" spans="25:26">
      <c r="Y2625" s="1354"/>
      <c r="Z2625" s="1060"/>
    </row>
    <row r="2626" spans="25:26">
      <c r="Y2626" s="1354"/>
      <c r="Z2626" s="1060"/>
    </row>
    <row r="2627" spans="25:26">
      <c r="Y2627" s="1354"/>
      <c r="Z2627" s="1060"/>
    </row>
    <row r="2628" spans="25:26">
      <c r="Y2628" s="1354"/>
      <c r="Z2628" s="1060"/>
    </row>
    <row r="2629" spans="25:26">
      <c r="Y2629" s="1354"/>
      <c r="Z2629" s="1060"/>
    </row>
    <row r="2630" spans="25:26">
      <c r="Y2630" s="1354"/>
      <c r="Z2630" s="1060"/>
    </row>
    <row r="2631" spans="25:26">
      <c r="Y2631" s="1354"/>
      <c r="Z2631" s="1060"/>
    </row>
    <row r="2632" spans="25:26">
      <c r="Y2632" s="1354"/>
      <c r="Z2632" s="1060"/>
    </row>
    <row r="2633" spans="25:26">
      <c r="Y2633" s="1354"/>
      <c r="Z2633" s="1060"/>
    </row>
    <row r="2634" spans="25:26">
      <c r="Y2634" s="1354"/>
      <c r="Z2634" s="1060"/>
    </row>
    <row r="2635" spans="25:26">
      <c r="Y2635" s="1354"/>
      <c r="Z2635" s="1060"/>
    </row>
    <row r="2636" spans="25:26">
      <c r="Y2636" s="1354"/>
      <c r="Z2636" s="1060"/>
    </row>
    <row r="2637" spans="25:26">
      <c r="Y2637" s="1354"/>
      <c r="Z2637" s="1060"/>
    </row>
    <row r="2638" spans="25:26">
      <c r="Y2638" s="1354"/>
      <c r="Z2638" s="1060"/>
    </row>
    <row r="2639" spans="25:26">
      <c r="Y2639" s="1354"/>
      <c r="Z2639" s="1060"/>
    </row>
    <row r="2640" spans="25:26">
      <c r="Y2640" s="1354"/>
      <c r="Z2640" s="1060"/>
    </row>
    <row r="2641" spans="25:26">
      <c r="Y2641" s="1354"/>
      <c r="Z2641" s="1060"/>
    </row>
    <row r="2642" spans="25:26">
      <c r="Y2642" s="1354"/>
      <c r="Z2642" s="1060"/>
    </row>
    <row r="2643" spans="25:26">
      <c r="Y2643" s="1354"/>
      <c r="Z2643" s="1060"/>
    </row>
    <row r="2644" spans="25:26">
      <c r="Y2644" s="1354"/>
      <c r="Z2644" s="1060"/>
    </row>
    <row r="2645" spans="25:26">
      <c r="Y2645" s="1354"/>
      <c r="Z2645" s="1060"/>
    </row>
    <row r="2646" spans="25:26">
      <c r="Y2646" s="1354"/>
      <c r="Z2646" s="1060"/>
    </row>
    <row r="2647" spans="25:26">
      <c r="Y2647" s="1354"/>
      <c r="Z2647" s="1060"/>
    </row>
    <row r="2648" spans="25:26">
      <c r="Y2648" s="1354"/>
      <c r="Z2648" s="1060"/>
    </row>
    <row r="2649" spans="25:26">
      <c r="Y2649" s="1354"/>
      <c r="Z2649" s="1060"/>
    </row>
    <row r="2650" spans="25:26">
      <c r="Y2650" s="1354"/>
      <c r="Z2650" s="1060"/>
    </row>
    <row r="2651" spans="25:26">
      <c r="Y2651" s="1354"/>
      <c r="Z2651" s="1060"/>
    </row>
    <row r="2652" spans="25:26">
      <c r="Y2652" s="1354"/>
      <c r="Z2652" s="1060"/>
    </row>
    <row r="2653" spans="25:26">
      <c r="Y2653" s="1354"/>
      <c r="Z2653" s="1060"/>
    </row>
    <row r="2654" spans="25:26">
      <c r="Y2654" s="1354"/>
      <c r="Z2654" s="1060"/>
    </row>
    <row r="2655" spans="25:26">
      <c r="Y2655" s="1354"/>
      <c r="Z2655" s="1060"/>
    </row>
    <row r="2656" spans="25:26">
      <c r="Y2656" s="1354"/>
      <c r="Z2656" s="1060"/>
    </row>
    <row r="2657" spans="25:26">
      <c r="Y2657" s="1354"/>
      <c r="Z2657" s="1060"/>
    </row>
    <row r="2658" spans="25:26">
      <c r="Y2658" s="1354"/>
      <c r="Z2658" s="1060"/>
    </row>
    <row r="2659" spans="25:26">
      <c r="Y2659" s="1354"/>
      <c r="Z2659" s="1060"/>
    </row>
    <row r="2660" spans="25:26">
      <c r="Y2660" s="1354"/>
      <c r="Z2660" s="1060"/>
    </row>
    <row r="2661" spans="25:26">
      <c r="Y2661" s="1354"/>
      <c r="Z2661" s="1060"/>
    </row>
    <row r="2662" spans="25:26">
      <c r="Y2662" s="1354"/>
      <c r="Z2662" s="1060"/>
    </row>
    <row r="2663" spans="25:26">
      <c r="Y2663" s="1354"/>
      <c r="Z2663" s="1060"/>
    </row>
    <row r="2664" spans="25:26">
      <c r="Y2664" s="1354"/>
      <c r="Z2664" s="1060"/>
    </row>
    <row r="2665" spans="25:26">
      <c r="Y2665" s="1354"/>
      <c r="Z2665" s="1060"/>
    </row>
    <row r="2666" spans="25:26">
      <c r="Y2666" s="1354"/>
      <c r="Z2666" s="1060"/>
    </row>
    <row r="2667" spans="25:26">
      <c r="Y2667" s="1354"/>
      <c r="Z2667" s="1060"/>
    </row>
    <row r="2668" spans="25:26">
      <c r="Y2668" s="1354"/>
      <c r="Z2668" s="1060"/>
    </row>
    <row r="2669" spans="25:26">
      <c r="Y2669" s="1354"/>
      <c r="Z2669" s="1060"/>
    </row>
    <row r="2670" spans="25:26">
      <c r="Y2670" s="1354"/>
      <c r="Z2670" s="1060"/>
    </row>
    <row r="2671" spans="25:26">
      <c r="Y2671" s="1354"/>
      <c r="Z2671" s="1060"/>
    </row>
    <row r="2672" spans="25:26">
      <c r="Y2672" s="1354"/>
      <c r="Z2672" s="1060"/>
    </row>
    <row r="2673" spans="25:26">
      <c r="Y2673" s="1354"/>
      <c r="Z2673" s="1060"/>
    </row>
    <row r="2674" spans="25:26">
      <c r="Y2674" s="1354"/>
      <c r="Z2674" s="1060"/>
    </row>
    <row r="2675" spans="25:26">
      <c r="Y2675" s="1354"/>
      <c r="Z2675" s="1060"/>
    </row>
    <row r="2676" spans="25:26">
      <c r="Y2676" s="1354"/>
      <c r="Z2676" s="1060"/>
    </row>
    <row r="2677" spans="25:26">
      <c r="Y2677" s="1354"/>
      <c r="Z2677" s="1060"/>
    </row>
    <row r="2678" spans="25:26">
      <c r="Y2678" s="1354"/>
      <c r="Z2678" s="1060"/>
    </row>
    <row r="2679" spans="25:26">
      <c r="Y2679" s="1354"/>
      <c r="Z2679" s="1060"/>
    </row>
    <row r="2680" spans="25:26">
      <c r="Y2680" s="1354"/>
      <c r="Z2680" s="1060"/>
    </row>
    <row r="2681" spans="25:26">
      <c r="Y2681" s="1354"/>
      <c r="Z2681" s="1060"/>
    </row>
    <row r="2682" spans="25:26">
      <c r="Y2682" s="1354"/>
      <c r="Z2682" s="1060"/>
    </row>
    <row r="2683" spans="25:26">
      <c r="Y2683" s="1354"/>
      <c r="Z2683" s="1060"/>
    </row>
    <row r="2684" spans="25:26">
      <c r="Y2684" s="1354"/>
      <c r="Z2684" s="1060"/>
    </row>
    <row r="2685" spans="25:26">
      <c r="Y2685" s="1354"/>
      <c r="Z2685" s="1060"/>
    </row>
    <row r="2686" spans="25:26">
      <c r="Y2686" s="1354"/>
      <c r="Z2686" s="1060"/>
    </row>
    <row r="2687" spans="25:26">
      <c r="Y2687" s="1354"/>
      <c r="Z2687" s="1060"/>
    </row>
    <row r="2688" spans="25:26">
      <c r="Y2688" s="1354"/>
      <c r="Z2688" s="1060"/>
    </row>
    <row r="2689" spans="25:26">
      <c r="Y2689" s="1354"/>
      <c r="Z2689" s="1060"/>
    </row>
    <row r="2690" spans="25:26">
      <c r="Y2690" s="1354"/>
      <c r="Z2690" s="1060"/>
    </row>
    <row r="2691" spans="25:26">
      <c r="Y2691" s="1354"/>
      <c r="Z2691" s="1060"/>
    </row>
    <row r="2692" spans="25:26">
      <c r="Y2692" s="1354"/>
      <c r="Z2692" s="1060"/>
    </row>
    <row r="2693" spans="25:26">
      <c r="Y2693" s="1354"/>
      <c r="Z2693" s="1060"/>
    </row>
    <row r="2694" spans="25:26">
      <c r="Y2694" s="1354"/>
      <c r="Z2694" s="1060"/>
    </row>
    <row r="2695" spans="25:26">
      <c r="Y2695" s="1354"/>
      <c r="Z2695" s="1060"/>
    </row>
    <row r="2696" spans="25:26">
      <c r="Y2696" s="1354"/>
      <c r="Z2696" s="1060"/>
    </row>
    <row r="2697" spans="25:26">
      <c r="Y2697" s="1354"/>
      <c r="Z2697" s="1060"/>
    </row>
    <row r="2698" spans="25:26">
      <c r="Y2698" s="1354"/>
      <c r="Z2698" s="1060"/>
    </row>
    <row r="2699" spans="25:26">
      <c r="Y2699" s="1354"/>
      <c r="Z2699" s="1060"/>
    </row>
    <row r="2700" spans="25:26">
      <c r="Y2700" s="1354"/>
      <c r="Z2700" s="1060"/>
    </row>
    <row r="2701" spans="25:26">
      <c r="Y2701" s="1354"/>
      <c r="Z2701" s="1060"/>
    </row>
    <row r="2702" spans="25:26">
      <c r="Y2702" s="1354"/>
      <c r="Z2702" s="1060"/>
    </row>
    <row r="2703" spans="25:26">
      <c r="Y2703" s="1354"/>
      <c r="Z2703" s="1060"/>
    </row>
    <row r="2704" spans="25:26">
      <c r="Y2704" s="1354"/>
      <c r="Z2704" s="1060"/>
    </row>
    <row r="2705" spans="25:26">
      <c r="Y2705" s="1354"/>
      <c r="Z2705" s="1060"/>
    </row>
    <row r="2706" spans="25:26">
      <c r="Y2706" s="1354"/>
      <c r="Z2706" s="1060"/>
    </row>
    <row r="2707" spans="25:26">
      <c r="Y2707" s="1354"/>
      <c r="Z2707" s="1060"/>
    </row>
    <row r="2708" spans="25:26">
      <c r="Y2708" s="1354"/>
      <c r="Z2708" s="1060"/>
    </row>
    <row r="2709" spans="25:26">
      <c r="Y2709" s="1354"/>
      <c r="Z2709" s="1060"/>
    </row>
    <row r="2710" spans="25:26">
      <c r="Y2710" s="1354"/>
      <c r="Z2710" s="1060"/>
    </row>
    <row r="2711" spans="25:26">
      <c r="Y2711" s="1354"/>
      <c r="Z2711" s="1060"/>
    </row>
    <row r="2712" spans="25:26">
      <c r="Y2712" s="1354"/>
      <c r="Z2712" s="1060"/>
    </row>
    <row r="2713" spans="25:26">
      <c r="Y2713" s="1354"/>
      <c r="Z2713" s="1060"/>
    </row>
    <row r="2714" spans="25:26">
      <c r="Y2714" s="1354"/>
      <c r="Z2714" s="1060"/>
    </row>
    <row r="2715" spans="25:26">
      <c r="Y2715" s="1354"/>
      <c r="Z2715" s="1060"/>
    </row>
    <row r="2716" spans="25:26">
      <c r="Y2716" s="1354"/>
      <c r="Z2716" s="1060"/>
    </row>
    <row r="2717" spans="25:26">
      <c r="Y2717" s="1354"/>
      <c r="Z2717" s="1060"/>
    </row>
    <row r="2718" spans="25:26">
      <c r="Y2718" s="1354"/>
      <c r="Z2718" s="1060"/>
    </row>
    <row r="2719" spans="25:26">
      <c r="Y2719" s="1354"/>
      <c r="Z2719" s="1060"/>
    </row>
    <row r="2720" spans="25:26">
      <c r="Y2720" s="1354"/>
      <c r="Z2720" s="1060"/>
    </row>
    <row r="2721" spans="25:26">
      <c r="Y2721" s="1354"/>
      <c r="Z2721" s="1060"/>
    </row>
    <row r="2722" spans="25:26">
      <c r="Y2722" s="1354"/>
      <c r="Z2722" s="1060"/>
    </row>
    <row r="2723" spans="25:26">
      <c r="Y2723" s="1354"/>
      <c r="Z2723" s="1060"/>
    </row>
    <row r="2724" spans="25:26">
      <c r="Y2724" s="1354"/>
      <c r="Z2724" s="1060"/>
    </row>
    <row r="2725" spans="25:26">
      <c r="Y2725" s="1354"/>
      <c r="Z2725" s="1060"/>
    </row>
    <row r="2726" spans="25:26">
      <c r="Y2726" s="1354"/>
      <c r="Z2726" s="1060"/>
    </row>
    <row r="2727" spans="25:26">
      <c r="Y2727" s="1354"/>
      <c r="Z2727" s="1060"/>
    </row>
    <row r="2728" spans="25:26">
      <c r="Y2728" s="1354"/>
      <c r="Z2728" s="1060"/>
    </row>
    <row r="2729" spans="25:26">
      <c r="Y2729" s="1354"/>
      <c r="Z2729" s="1060"/>
    </row>
    <row r="2730" spans="25:26">
      <c r="Y2730" s="1354"/>
      <c r="Z2730" s="1060"/>
    </row>
    <row r="2731" spans="25:26">
      <c r="Y2731" s="1354"/>
      <c r="Z2731" s="1060"/>
    </row>
    <row r="2732" spans="25:26">
      <c r="Y2732" s="1354"/>
      <c r="Z2732" s="1060"/>
    </row>
    <row r="2733" spans="25:26">
      <c r="Y2733" s="1354"/>
      <c r="Z2733" s="1060"/>
    </row>
    <row r="2734" spans="25:26">
      <c r="Y2734" s="1354"/>
      <c r="Z2734" s="1060"/>
    </row>
    <row r="2735" spans="25:26">
      <c r="Y2735" s="1354"/>
      <c r="Z2735" s="1060"/>
    </row>
    <row r="2736" spans="25:26">
      <c r="Y2736" s="1354"/>
      <c r="Z2736" s="1060"/>
    </row>
    <row r="2737" spans="25:26">
      <c r="Y2737" s="1354"/>
      <c r="Z2737" s="1060"/>
    </row>
    <row r="2738" spans="25:26">
      <c r="Y2738" s="1354"/>
      <c r="Z2738" s="1060"/>
    </row>
    <row r="2739" spans="25:26">
      <c r="Y2739" s="1354"/>
      <c r="Z2739" s="1060"/>
    </row>
    <row r="2740" spans="25:26">
      <c r="Y2740" s="1354"/>
      <c r="Z2740" s="1060"/>
    </row>
    <row r="2741" spans="25:26">
      <c r="Y2741" s="1354"/>
      <c r="Z2741" s="1060"/>
    </row>
    <row r="2742" spans="25:26">
      <c r="Y2742" s="1354"/>
      <c r="Z2742" s="1060"/>
    </row>
    <row r="2743" spans="25:26">
      <c r="Y2743" s="1354"/>
      <c r="Z2743" s="1060"/>
    </row>
    <row r="2744" spans="25:26">
      <c r="Y2744" s="1354"/>
      <c r="Z2744" s="1060"/>
    </row>
    <row r="2745" spans="25:26">
      <c r="Y2745" s="1354"/>
      <c r="Z2745" s="1060"/>
    </row>
    <row r="2746" spans="25:26">
      <c r="Y2746" s="1354"/>
      <c r="Z2746" s="1060"/>
    </row>
    <row r="2747" spans="25:26">
      <c r="Y2747" s="1354"/>
      <c r="Z2747" s="1060"/>
    </row>
    <row r="2748" spans="25:26">
      <c r="Y2748" s="1354"/>
      <c r="Z2748" s="1060"/>
    </row>
    <row r="2749" spans="25:26">
      <c r="Y2749" s="1354"/>
      <c r="Z2749" s="1060"/>
    </row>
    <row r="2750" spans="25:26">
      <c r="Y2750" s="1354"/>
      <c r="Z2750" s="1060"/>
    </row>
    <row r="2751" spans="25:26">
      <c r="Y2751" s="1354"/>
      <c r="Z2751" s="1060"/>
    </row>
    <row r="2752" spans="25:26">
      <c r="Y2752" s="1354"/>
      <c r="Z2752" s="1060"/>
    </row>
    <row r="2753" spans="25:26">
      <c r="Y2753" s="1354"/>
      <c r="Z2753" s="1060"/>
    </row>
    <row r="2754" spans="25:26">
      <c r="Y2754" s="1354"/>
      <c r="Z2754" s="1060"/>
    </row>
    <row r="2755" spans="25:26">
      <c r="Y2755" s="1354"/>
      <c r="Z2755" s="1060"/>
    </row>
    <row r="2756" spans="25:26">
      <c r="Y2756" s="1354"/>
      <c r="Z2756" s="1060"/>
    </row>
    <row r="2757" spans="25:26">
      <c r="Y2757" s="1354"/>
      <c r="Z2757" s="1060"/>
    </row>
    <row r="2758" spans="25:26">
      <c r="Y2758" s="1354"/>
      <c r="Z2758" s="1060"/>
    </row>
    <row r="2759" spans="25:26">
      <c r="Y2759" s="1354"/>
      <c r="Z2759" s="1060"/>
    </row>
    <row r="2760" spans="25:26">
      <c r="Y2760" s="1354"/>
      <c r="Z2760" s="1060"/>
    </row>
    <row r="2761" spans="25:26">
      <c r="Y2761" s="1354"/>
      <c r="Z2761" s="1060"/>
    </row>
    <row r="2762" spans="25:26">
      <c r="Y2762" s="1354"/>
      <c r="Z2762" s="1060"/>
    </row>
    <row r="2763" spans="25:26">
      <c r="Y2763" s="1354"/>
      <c r="Z2763" s="1060"/>
    </row>
    <row r="2764" spans="25:26">
      <c r="Y2764" s="1354"/>
      <c r="Z2764" s="1060"/>
    </row>
    <row r="2765" spans="25:26">
      <c r="Y2765" s="1354"/>
      <c r="Z2765" s="1060"/>
    </row>
    <row r="2766" spans="25:26">
      <c r="Y2766" s="1354"/>
      <c r="Z2766" s="1060"/>
    </row>
    <row r="2767" spans="25:26">
      <c r="Y2767" s="1354"/>
      <c r="Z2767" s="1060"/>
    </row>
    <row r="2768" spans="25:26">
      <c r="Y2768" s="1354"/>
      <c r="Z2768" s="1060"/>
    </row>
    <row r="2769" spans="25:26">
      <c r="Y2769" s="1354"/>
      <c r="Z2769" s="1060"/>
    </row>
    <row r="2770" spans="25:26">
      <c r="Y2770" s="1354"/>
      <c r="Z2770" s="1060"/>
    </row>
    <row r="2771" spans="25:26">
      <c r="Y2771" s="1354"/>
      <c r="Z2771" s="1060"/>
    </row>
    <row r="2772" spans="25:26">
      <c r="Y2772" s="1354"/>
      <c r="Z2772" s="1060"/>
    </row>
    <row r="2773" spans="25:26">
      <c r="Y2773" s="1354"/>
      <c r="Z2773" s="1060"/>
    </row>
    <row r="2774" spans="25:26">
      <c r="Y2774" s="1354"/>
      <c r="Z2774" s="1060"/>
    </row>
    <row r="2775" spans="25:26">
      <c r="Y2775" s="1354"/>
      <c r="Z2775" s="1060"/>
    </row>
    <row r="2776" spans="25:26">
      <c r="Y2776" s="1354"/>
      <c r="Z2776" s="1060"/>
    </row>
    <row r="2777" spans="25:26">
      <c r="Y2777" s="1354"/>
      <c r="Z2777" s="1060"/>
    </row>
    <row r="2778" spans="25:26">
      <c r="Y2778" s="1354"/>
      <c r="Z2778" s="1060"/>
    </row>
    <row r="2779" spans="25:26">
      <c r="Y2779" s="1354"/>
      <c r="Z2779" s="1060"/>
    </row>
    <row r="2780" spans="25:26">
      <c r="Y2780" s="1354"/>
      <c r="Z2780" s="1060"/>
    </row>
    <row r="2781" spans="25:26">
      <c r="Y2781" s="1354"/>
      <c r="Z2781" s="1060"/>
    </row>
    <row r="2782" spans="25:26">
      <c r="Y2782" s="1354"/>
      <c r="Z2782" s="1060"/>
    </row>
    <row r="2783" spans="25:26">
      <c r="Y2783" s="1354"/>
      <c r="Z2783" s="1060"/>
    </row>
    <row r="2784" spans="25:26">
      <c r="Y2784" s="1354"/>
      <c r="Z2784" s="1060"/>
    </row>
    <row r="2785" spans="25:26">
      <c r="Y2785" s="1354"/>
      <c r="Z2785" s="1060"/>
    </row>
    <row r="2786" spans="25:26">
      <c r="Y2786" s="1354"/>
      <c r="Z2786" s="1060"/>
    </row>
    <row r="2787" spans="25:26">
      <c r="Y2787" s="1354"/>
      <c r="Z2787" s="1060"/>
    </row>
    <row r="2788" spans="25:26">
      <c r="Y2788" s="1354"/>
      <c r="Z2788" s="1060"/>
    </row>
    <row r="2789" spans="25:26">
      <c r="Y2789" s="1354"/>
      <c r="Z2789" s="1060"/>
    </row>
    <row r="2790" spans="25:26">
      <c r="Y2790" s="1354"/>
      <c r="Z2790" s="1060"/>
    </row>
    <row r="2791" spans="25:26">
      <c r="Y2791" s="1354"/>
      <c r="Z2791" s="1060"/>
    </row>
    <row r="2792" spans="25:26">
      <c r="Y2792" s="1354"/>
      <c r="Z2792" s="1060"/>
    </row>
    <row r="2793" spans="25:26">
      <c r="Y2793" s="1354"/>
      <c r="Z2793" s="1060"/>
    </row>
    <row r="2794" spans="25:26">
      <c r="Y2794" s="1354"/>
      <c r="Z2794" s="1060"/>
    </row>
    <row r="2795" spans="25:26">
      <c r="Y2795" s="1354"/>
      <c r="Z2795" s="1060"/>
    </row>
    <row r="2796" spans="25:26">
      <c r="Y2796" s="1354"/>
      <c r="Z2796" s="1060"/>
    </row>
    <row r="2797" spans="25:26">
      <c r="Y2797" s="1354"/>
      <c r="Z2797" s="1060"/>
    </row>
    <row r="2798" spans="25:26">
      <c r="Y2798" s="1354"/>
      <c r="Z2798" s="1060"/>
    </row>
    <row r="2799" spans="25:26">
      <c r="Y2799" s="1354"/>
      <c r="Z2799" s="1060"/>
    </row>
    <row r="2800" spans="25:26">
      <c r="Y2800" s="1354"/>
      <c r="Z2800" s="1060"/>
    </row>
    <row r="2801" spans="25:26">
      <c r="Y2801" s="1354"/>
      <c r="Z2801" s="1060"/>
    </row>
    <row r="2802" spans="25:26">
      <c r="Y2802" s="1354"/>
      <c r="Z2802" s="1060"/>
    </row>
    <row r="2803" spans="25:26">
      <c r="Y2803" s="1354"/>
      <c r="Z2803" s="1060"/>
    </row>
    <row r="2804" spans="25:26">
      <c r="Y2804" s="1354"/>
      <c r="Z2804" s="1060"/>
    </row>
    <row r="2805" spans="25:26">
      <c r="Y2805" s="1354"/>
      <c r="Z2805" s="1060"/>
    </row>
    <row r="2806" spans="25:26">
      <c r="Y2806" s="1354"/>
      <c r="Z2806" s="1060"/>
    </row>
    <row r="2807" spans="25:26">
      <c r="Y2807" s="1354"/>
      <c r="Z2807" s="1060"/>
    </row>
    <row r="2808" spans="25:26">
      <c r="Y2808" s="1354"/>
      <c r="Z2808" s="1060"/>
    </row>
    <row r="2809" spans="25:26">
      <c r="Y2809" s="1354"/>
      <c r="Z2809" s="1060"/>
    </row>
    <row r="2810" spans="25:26">
      <c r="Y2810" s="1354"/>
      <c r="Z2810" s="1060"/>
    </row>
    <row r="2811" spans="25:26">
      <c r="Y2811" s="1354"/>
      <c r="Z2811" s="1060"/>
    </row>
    <row r="2812" spans="25:26">
      <c r="Y2812" s="1354"/>
      <c r="Z2812" s="1060"/>
    </row>
    <row r="2813" spans="25:26">
      <c r="Y2813" s="1354"/>
      <c r="Z2813" s="1060"/>
    </row>
    <row r="2814" spans="25:26">
      <c r="Y2814" s="1354"/>
      <c r="Z2814" s="1060"/>
    </row>
    <row r="2815" spans="25:26">
      <c r="Y2815" s="1354"/>
      <c r="Z2815" s="1060"/>
    </row>
    <row r="2816" spans="25:26">
      <c r="Y2816" s="1354"/>
      <c r="Z2816" s="1060"/>
    </row>
    <row r="2817" spans="25:26">
      <c r="Y2817" s="1354"/>
      <c r="Z2817" s="1060"/>
    </row>
    <row r="2818" spans="25:26">
      <c r="Y2818" s="1354"/>
      <c r="Z2818" s="1060"/>
    </row>
    <row r="2819" spans="25:26">
      <c r="Y2819" s="1354"/>
      <c r="Z2819" s="1060"/>
    </row>
    <row r="2820" spans="25:26">
      <c r="Y2820" s="1354"/>
      <c r="Z2820" s="1060"/>
    </row>
    <row r="2821" spans="25:26">
      <c r="Y2821" s="1354"/>
      <c r="Z2821" s="1060"/>
    </row>
    <row r="2822" spans="25:26">
      <c r="Y2822" s="1354"/>
      <c r="Z2822" s="1060"/>
    </row>
    <row r="2823" spans="25:26">
      <c r="Y2823" s="1354"/>
      <c r="Z2823" s="1060"/>
    </row>
    <row r="2824" spans="25:26">
      <c r="Y2824" s="1354"/>
      <c r="Z2824" s="1060"/>
    </row>
    <row r="2825" spans="25:26">
      <c r="Y2825" s="1354"/>
      <c r="Z2825" s="1060"/>
    </row>
    <row r="2826" spans="25:26">
      <c r="Y2826" s="1354"/>
      <c r="Z2826" s="1060"/>
    </row>
    <row r="2827" spans="25:26">
      <c r="Y2827" s="1354"/>
      <c r="Z2827" s="1060"/>
    </row>
    <row r="2828" spans="25:26">
      <c r="Y2828" s="1354"/>
      <c r="Z2828" s="1060"/>
    </row>
    <row r="2829" spans="25:26">
      <c r="Y2829" s="1354"/>
      <c r="Z2829" s="1060"/>
    </row>
    <row r="2830" spans="25:26">
      <c r="Y2830" s="1354"/>
      <c r="Z2830" s="1060"/>
    </row>
    <row r="2831" spans="25:26">
      <c r="Y2831" s="1354"/>
      <c r="Z2831" s="1060"/>
    </row>
    <row r="2832" spans="25:26">
      <c r="Y2832" s="1354"/>
      <c r="Z2832" s="1060"/>
    </row>
    <row r="2833" spans="25:26">
      <c r="Y2833" s="1354"/>
      <c r="Z2833" s="1060"/>
    </row>
    <row r="2834" spans="25:26">
      <c r="Y2834" s="1354"/>
      <c r="Z2834" s="1060"/>
    </row>
    <row r="2835" spans="25:26">
      <c r="Y2835" s="1354"/>
      <c r="Z2835" s="1060"/>
    </row>
    <row r="2836" spans="25:26">
      <c r="Y2836" s="1354"/>
      <c r="Z2836" s="1060"/>
    </row>
    <row r="2837" spans="25:26">
      <c r="Y2837" s="1354"/>
      <c r="Z2837" s="1060"/>
    </row>
    <row r="2838" spans="25:26">
      <c r="Y2838" s="1354"/>
      <c r="Z2838" s="1060"/>
    </row>
    <row r="2839" spans="25:26">
      <c r="Y2839" s="1354"/>
      <c r="Z2839" s="1060"/>
    </row>
    <row r="2840" spans="25:26">
      <c r="Y2840" s="1354"/>
      <c r="Z2840" s="1060"/>
    </row>
    <row r="2841" spans="25:26">
      <c r="Y2841" s="1354"/>
      <c r="Z2841" s="1060"/>
    </row>
    <row r="2842" spans="25:26">
      <c r="Y2842" s="1354"/>
      <c r="Z2842" s="1060"/>
    </row>
    <row r="2843" spans="25:26">
      <c r="Y2843" s="1354"/>
      <c r="Z2843" s="1060"/>
    </row>
    <row r="2844" spans="25:26">
      <c r="Y2844" s="1354"/>
      <c r="Z2844" s="1060"/>
    </row>
    <row r="2845" spans="25:26">
      <c r="Y2845" s="1354"/>
      <c r="Z2845" s="1060"/>
    </row>
    <row r="2846" spans="25:26">
      <c r="Y2846" s="1354"/>
      <c r="Z2846" s="1060"/>
    </row>
    <row r="2847" spans="25:26">
      <c r="Y2847" s="1354"/>
      <c r="Z2847" s="1060"/>
    </row>
    <row r="2848" spans="25:26">
      <c r="Y2848" s="1354"/>
      <c r="Z2848" s="1060"/>
    </row>
    <row r="2849" spans="25:26">
      <c r="Y2849" s="1354"/>
      <c r="Z2849" s="1060"/>
    </row>
    <row r="2850" spans="25:26">
      <c r="Y2850" s="1354"/>
      <c r="Z2850" s="1060"/>
    </row>
    <row r="2851" spans="25:26">
      <c r="Y2851" s="1354"/>
      <c r="Z2851" s="1060"/>
    </row>
    <row r="2852" spans="25:26">
      <c r="Y2852" s="1354"/>
      <c r="Z2852" s="1060"/>
    </row>
    <row r="2853" spans="25:26">
      <c r="Y2853" s="1354"/>
      <c r="Z2853" s="1060"/>
    </row>
    <row r="2854" spans="25:26">
      <c r="Y2854" s="1354"/>
      <c r="Z2854" s="1060"/>
    </row>
    <row r="2855" spans="25:26">
      <c r="Y2855" s="1354"/>
      <c r="Z2855" s="1060"/>
    </row>
    <row r="2856" spans="25:26">
      <c r="Y2856" s="1354"/>
      <c r="Z2856" s="1060"/>
    </row>
    <row r="2857" spans="25:26">
      <c r="Y2857" s="1354"/>
      <c r="Z2857" s="1060"/>
    </row>
    <row r="2858" spans="25:26">
      <c r="Y2858" s="1354"/>
      <c r="Z2858" s="1060"/>
    </row>
    <row r="2859" spans="25:26">
      <c r="Y2859" s="1354"/>
      <c r="Z2859" s="1060"/>
    </row>
    <row r="2860" spans="25:26">
      <c r="Y2860" s="1354"/>
      <c r="Z2860" s="1060"/>
    </row>
    <row r="2861" spans="25:26">
      <c r="Y2861" s="1354"/>
      <c r="Z2861" s="1060"/>
    </row>
    <row r="2862" spans="25:26">
      <c r="Y2862" s="1354"/>
      <c r="Z2862" s="1060"/>
    </row>
    <row r="2863" spans="25:26">
      <c r="Y2863" s="1354"/>
      <c r="Z2863" s="1060"/>
    </row>
    <row r="2864" spans="25:26">
      <c r="Y2864" s="1354"/>
      <c r="Z2864" s="1060"/>
    </row>
    <row r="2865" spans="25:26">
      <c r="Y2865" s="1354"/>
      <c r="Z2865" s="1060"/>
    </row>
    <row r="2866" spans="25:26">
      <c r="Y2866" s="1354"/>
      <c r="Z2866" s="1060"/>
    </row>
    <row r="2867" spans="25:26">
      <c r="Y2867" s="1354"/>
      <c r="Z2867" s="1060"/>
    </row>
    <row r="2868" spans="25:26">
      <c r="Y2868" s="1354"/>
      <c r="Z2868" s="1060"/>
    </row>
    <row r="2869" spans="25:26">
      <c r="Y2869" s="1354"/>
      <c r="Z2869" s="1060"/>
    </row>
    <row r="2870" spans="25:26">
      <c r="Y2870" s="1354"/>
      <c r="Z2870" s="1060"/>
    </row>
    <row r="2871" spans="25:26">
      <c r="Y2871" s="1354"/>
      <c r="Z2871" s="1060"/>
    </row>
    <row r="2872" spans="25:26">
      <c r="Y2872" s="1354"/>
      <c r="Z2872" s="1060"/>
    </row>
    <row r="2873" spans="25:26">
      <c r="Y2873" s="1354"/>
      <c r="Z2873" s="1060"/>
    </row>
    <row r="2874" spans="25:26">
      <c r="Y2874" s="1354"/>
      <c r="Z2874" s="1060"/>
    </row>
    <row r="2875" spans="25:26">
      <c r="Y2875" s="1354"/>
      <c r="Z2875" s="1060"/>
    </row>
    <row r="2876" spans="25:26">
      <c r="Y2876" s="1354"/>
      <c r="Z2876" s="1060"/>
    </row>
    <row r="2877" spans="25:26">
      <c r="Y2877" s="1354"/>
      <c r="Z2877" s="1060"/>
    </row>
    <row r="2878" spans="25:26">
      <c r="Y2878" s="1354"/>
      <c r="Z2878" s="1060"/>
    </row>
    <row r="2879" spans="25:26">
      <c r="Y2879" s="1354"/>
      <c r="Z2879" s="1060"/>
    </row>
    <row r="2880" spans="25:26">
      <c r="Y2880" s="1354"/>
      <c r="Z2880" s="1060"/>
    </row>
    <row r="2881" spans="25:26">
      <c r="Y2881" s="1354"/>
      <c r="Z2881" s="1060"/>
    </row>
    <row r="2882" spans="25:26">
      <c r="Y2882" s="1354"/>
      <c r="Z2882" s="1060"/>
    </row>
    <row r="2883" spans="25:26">
      <c r="Y2883" s="1354"/>
      <c r="Z2883" s="1060"/>
    </row>
    <row r="2884" spans="25:26">
      <c r="Y2884" s="1354"/>
      <c r="Z2884" s="1060"/>
    </row>
    <row r="2885" spans="25:26">
      <c r="Y2885" s="1354"/>
      <c r="Z2885" s="1060"/>
    </row>
    <row r="2886" spans="25:26">
      <c r="Y2886" s="1354"/>
      <c r="Z2886" s="1060"/>
    </row>
    <row r="2887" spans="25:26">
      <c r="Y2887" s="1354"/>
      <c r="Z2887" s="1060"/>
    </row>
    <row r="2888" spans="25:26">
      <c r="Y2888" s="1354"/>
      <c r="Z2888" s="1060"/>
    </row>
    <row r="2889" spans="25:26">
      <c r="Y2889" s="1354"/>
      <c r="Z2889" s="1060"/>
    </row>
    <row r="2890" spans="25:26">
      <c r="Y2890" s="1354"/>
      <c r="Z2890" s="1060"/>
    </row>
    <row r="2891" spans="25:26">
      <c r="Y2891" s="1354"/>
      <c r="Z2891" s="1060"/>
    </row>
    <row r="2892" spans="25:26">
      <c r="Y2892" s="1354"/>
      <c r="Z2892" s="1060"/>
    </row>
    <row r="2893" spans="25:26">
      <c r="Y2893" s="1354"/>
      <c r="Z2893" s="1060"/>
    </row>
    <row r="2894" spans="25:26">
      <c r="Y2894" s="1354"/>
      <c r="Z2894" s="1060"/>
    </row>
    <row r="2895" spans="25:26">
      <c r="Y2895" s="1354"/>
      <c r="Z2895" s="1060"/>
    </row>
    <row r="2896" spans="25:26">
      <c r="Y2896" s="1354"/>
      <c r="Z2896" s="1060"/>
    </row>
    <row r="2897" spans="25:26">
      <c r="Y2897" s="1354"/>
      <c r="Z2897" s="1060"/>
    </row>
    <row r="2898" spans="25:26">
      <c r="Y2898" s="1354"/>
      <c r="Z2898" s="1060"/>
    </row>
    <row r="2899" spans="25:26">
      <c r="Y2899" s="1354"/>
      <c r="Z2899" s="1060"/>
    </row>
    <row r="2900" spans="25:26">
      <c r="Y2900" s="1354"/>
      <c r="Z2900" s="1060"/>
    </row>
    <row r="2901" spans="25:26">
      <c r="Y2901" s="1354"/>
      <c r="Z2901" s="1060"/>
    </row>
    <row r="2902" spans="25:26">
      <c r="Y2902" s="1354"/>
      <c r="Z2902" s="1060"/>
    </row>
    <row r="2903" spans="25:26">
      <c r="Y2903" s="1354"/>
      <c r="Z2903" s="1060"/>
    </row>
    <row r="2904" spans="25:26">
      <c r="Y2904" s="1354"/>
      <c r="Z2904" s="1060"/>
    </row>
    <row r="2905" spans="25:26">
      <c r="Y2905" s="1354"/>
      <c r="Z2905" s="1060"/>
    </row>
    <row r="2906" spans="25:26">
      <c r="Y2906" s="1354"/>
      <c r="Z2906" s="1060"/>
    </row>
    <row r="2907" spans="25:26">
      <c r="Y2907" s="1354"/>
      <c r="Z2907" s="1060"/>
    </row>
    <row r="2908" spans="25:26">
      <c r="Y2908" s="1354"/>
      <c r="Z2908" s="1060"/>
    </row>
    <row r="2909" spans="25:26">
      <c r="Y2909" s="1354"/>
      <c r="Z2909" s="1060"/>
    </row>
    <row r="2910" spans="25:26">
      <c r="Y2910" s="1354"/>
      <c r="Z2910" s="1060"/>
    </row>
    <row r="2911" spans="25:26">
      <c r="Y2911" s="1354"/>
      <c r="Z2911" s="1060"/>
    </row>
    <row r="2912" spans="25:26">
      <c r="Y2912" s="1354"/>
      <c r="Z2912" s="1060"/>
    </row>
    <row r="2913" spans="25:26">
      <c r="Y2913" s="1354"/>
      <c r="Z2913" s="1060"/>
    </row>
    <row r="2914" spans="25:26">
      <c r="Y2914" s="1354"/>
      <c r="Z2914" s="1060"/>
    </row>
    <row r="2915" spans="25:26">
      <c r="Y2915" s="1354"/>
      <c r="Z2915" s="1060"/>
    </row>
    <row r="2916" spans="25:26">
      <c r="Y2916" s="1354"/>
      <c r="Z2916" s="1060"/>
    </row>
    <row r="2917" spans="25:26">
      <c r="Y2917" s="1354"/>
      <c r="Z2917" s="1060"/>
    </row>
    <row r="2918" spans="25:26">
      <c r="Y2918" s="1354"/>
      <c r="Z2918" s="1060"/>
    </row>
    <row r="2919" spans="25:26">
      <c r="Y2919" s="1354"/>
      <c r="Z2919" s="1060"/>
    </row>
    <row r="2920" spans="25:26">
      <c r="Y2920" s="1354"/>
      <c r="Z2920" s="1060"/>
    </row>
    <row r="2921" spans="25:26">
      <c r="Y2921" s="1354"/>
      <c r="Z2921" s="1060"/>
    </row>
    <row r="2922" spans="25:26">
      <c r="Y2922" s="1354"/>
      <c r="Z2922" s="1060"/>
    </row>
    <row r="2923" spans="25:26">
      <c r="Y2923" s="1354"/>
      <c r="Z2923" s="1060"/>
    </row>
    <row r="2924" spans="25:26">
      <c r="Y2924" s="1354"/>
      <c r="Z2924" s="1060"/>
    </row>
    <row r="2925" spans="25:26">
      <c r="Y2925" s="1354"/>
      <c r="Z2925" s="1060"/>
    </row>
    <row r="2926" spans="25:26">
      <c r="Y2926" s="1354"/>
      <c r="Z2926" s="1060"/>
    </row>
    <row r="2927" spans="25:26">
      <c r="Y2927" s="1354"/>
      <c r="Z2927" s="1060"/>
    </row>
    <row r="2928" spans="25:26">
      <c r="Y2928" s="1354"/>
      <c r="Z2928" s="1060"/>
    </row>
    <row r="2929" spans="25:26">
      <c r="Y2929" s="1354"/>
      <c r="Z2929" s="1060"/>
    </row>
    <row r="2930" spans="25:26">
      <c r="Y2930" s="1354"/>
      <c r="Z2930" s="1060"/>
    </row>
    <row r="2931" spans="25:26">
      <c r="Y2931" s="1354"/>
      <c r="Z2931" s="1060"/>
    </row>
    <row r="2932" spans="25:26">
      <c r="Y2932" s="1354"/>
      <c r="Z2932" s="1060"/>
    </row>
    <row r="2933" spans="25:26">
      <c r="Y2933" s="1354"/>
      <c r="Z2933" s="1060"/>
    </row>
    <row r="2934" spans="25:26">
      <c r="Y2934" s="1354"/>
      <c r="Z2934" s="1060"/>
    </row>
    <row r="2935" spans="25:26">
      <c r="Y2935" s="1354"/>
      <c r="Z2935" s="1060"/>
    </row>
    <row r="2936" spans="25:26">
      <c r="Y2936" s="1354"/>
      <c r="Z2936" s="1060"/>
    </row>
    <row r="2937" spans="25:26">
      <c r="Y2937" s="1354"/>
      <c r="Z2937" s="1060"/>
    </row>
    <row r="2938" spans="25:26">
      <c r="Y2938" s="1354"/>
      <c r="Z2938" s="1060"/>
    </row>
    <row r="2939" spans="25:26">
      <c r="Y2939" s="1354"/>
      <c r="Z2939" s="1060"/>
    </row>
    <row r="2940" spans="25:26">
      <c r="Y2940" s="1354"/>
      <c r="Z2940" s="1060"/>
    </row>
    <row r="2941" spans="25:26">
      <c r="Y2941" s="1354"/>
      <c r="Z2941" s="1060"/>
    </row>
    <row r="2942" spans="25:26">
      <c r="Y2942" s="1354"/>
      <c r="Z2942" s="1060"/>
    </row>
    <row r="2943" spans="25:26">
      <c r="Y2943" s="1354"/>
      <c r="Z2943" s="1060"/>
    </row>
    <row r="2944" spans="25:26">
      <c r="Y2944" s="1354"/>
      <c r="Z2944" s="1060"/>
    </row>
    <row r="2945" spans="25:26">
      <c r="Y2945" s="1354"/>
      <c r="Z2945" s="1060"/>
    </row>
    <row r="2946" spans="25:26">
      <c r="Y2946" s="1354"/>
      <c r="Z2946" s="1060"/>
    </row>
    <row r="2947" spans="25:26">
      <c r="Y2947" s="1354"/>
      <c r="Z2947" s="1060"/>
    </row>
    <row r="2948" spans="25:26">
      <c r="Y2948" s="1354"/>
      <c r="Z2948" s="1060"/>
    </row>
    <row r="2949" spans="25:26">
      <c r="Y2949" s="1354"/>
      <c r="Z2949" s="1060"/>
    </row>
    <row r="2950" spans="25:26">
      <c r="Y2950" s="1354"/>
      <c r="Z2950" s="1060"/>
    </row>
    <row r="2951" spans="25:26">
      <c r="Y2951" s="1354"/>
      <c r="Z2951" s="1060"/>
    </row>
    <row r="2952" spans="25:26">
      <c r="Y2952" s="1354"/>
      <c r="Z2952" s="1060"/>
    </row>
    <row r="2953" spans="25:26">
      <c r="Y2953" s="1354"/>
      <c r="Z2953" s="1060"/>
    </row>
    <row r="2954" spans="25:26">
      <c r="Y2954" s="1354"/>
      <c r="Z2954" s="1060"/>
    </row>
    <row r="2955" spans="25:26">
      <c r="Y2955" s="1354"/>
      <c r="Z2955" s="1060"/>
    </row>
    <row r="2956" spans="25:26">
      <c r="Y2956" s="1354"/>
      <c r="Z2956" s="1060"/>
    </row>
    <row r="2957" spans="25:26">
      <c r="Y2957" s="1354"/>
      <c r="Z2957" s="1060"/>
    </row>
    <row r="2958" spans="25:26">
      <c r="Y2958" s="1354"/>
      <c r="Z2958" s="1060"/>
    </row>
    <row r="2959" spans="25:26">
      <c r="Y2959" s="1354"/>
      <c r="Z2959" s="1060"/>
    </row>
    <row r="2960" spans="25:26">
      <c r="Y2960" s="1354"/>
      <c r="Z2960" s="1060"/>
    </row>
    <row r="2961" spans="25:26">
      <c r="Y2961" s="1354"/>
      <c r="Z2961" s="1060"/>
    </row>
    <row r="2962" spans="25:26">
      <c r="Y2962" s="1354"/>
      <c r="Z2962" s="1060"/>
    </row>
    <row r="2963" spans="25:26">
      <c r="Y2963" s="1354"/>
      <c r="Z2963" s="1060"/>
    </row>
    <row r="2964" spans="25:26">
      <c r="Y2964" s="1354"/>
      <c r="Z2964" s="1060"/>
    </row>
    <row r="2965" spans="25:26">
      <c r="Y2965" s="1354"/>
      <c r="Z2965" s="1060"/>
    </row>
    <row r="2966" spans="25:26">
      <c r="Y2966" s="1354"/>
      <c r="Z2966" s="1060"/>
    </row>
    <row r="2967" spans="25:26">
      <c r="Y2967" s="1354"/>
      <c r="Z2967" s="1060"/>
    </row>
    <row r="2968" spans="25:26">
      <c r="Y2968" s="1354"/>
      <c r="Z2968" s="1060"/>
    </row>
    <row r="2969" spans="25:26">
      <c r="Y2969" s="1354"/>
      <c r="Z2969" s="1060"/>
    </row>
    <row r="2970" spans="25:26">
      <c r="Y2970" s="1354"/>
      <c r="Z2970" s="1060"/>
    </row>
    <row r="2971" spans="25:26">
      <c r="Y2971" s="1354"/>
      <c r="Z2971" s="1060"/>
    </row>
    <row r="2972" spans="25:26">
      <c r="Y2972" s="1354"/>
      <c r="Z2972" s="1060"/>
    </row>
    <row r="2973" spans="25:26">
      <c r="Y2973" s="1354"/>
      <c r="Z2973" s="1060"/>
    </row>
    <row r="2974" spans="25:26">
      <c r="Y2974" s="1354"/>
      <c r="Z2974" s="1060"/>
    </row>
    <row r="2975" spans="25:26">
      <c r="Y2975" s="1354"/>
      <c r="Z2975" s="1060"/>
    </row>
    <row r="2976" spans="25:26">
      <c r="Y2976" s="1354"/>
      <c r="Z2976" s="1060"/>
    </row>
    <row r="2977" spans="25:26">
      <c r="Y2977" s="1354"/>
      <c r="Z2977" s="1060"/>
    </row>
    <row r="2978" spans="25:26">
      <c r="Y2978" s="1354"/>
      <c r="Z2978" s="1060"/>
    </row>
    <row r="2979" spans="25:26">
      <c r="Y2979" s="1354"/>
      <c r="Z2979" s="1060"/>
    </row>
    <row r="2980" spans="25:26">
      <c r="Y2980" s="1354"/>
      <c r="Z2980" s="1060"/>
    </row>
    <row r="2981" spans="25:26">
      <c r="Y2981" s="1354"/>
      <c r="Z2981" s="1060"/>
    </row>
    <row r="2982" spans="25:26">
      <c r="Y2982" s="1354"/>
      <c r="Z2982" s="1060"/>
    </row>
    <row r="2983" spans="25:26">
      <c r="Y2983" s="1354"/>
      <c r="Z2983" s="1060"/>
    </row>
    <row r="2984" spans="25:26">
      <c r="Y2984" s="1354"/>
      <c r="Z2984" s="1060"/>
    </row>
    <row r="2985" spans="25:26">
      <c r="Y2985" s="1354"/>
      <c r="Z2985" s="1060"/>
    </row>
    <row r="2986" spans="25:26">
      <c r="Y2986" s="1354"/>
      <c r="Z2986" s="1060"/>
    </row>
    <row r="2987" spans="25:26">
      <c r="Y2987" s="1354"/>
      <c r="Z2987" s="1060"/>
    </row>
    <row r="2988" spans="25:26">
      <c r="Y2988" s="1354"/>
      <c r="Z2988" s="1060"/>
    </row>
    <row r="2989" spans="25:26">
      <c r="Y2989" s="1354"/>
      <c r="Z2989" s="1060"/>
    </row>
    <row r="2990" spans="25:26">
      <c r="Y2990" s="1354"/>
      <c r="Z2990" s="1060"/>
    </row>
    <row r="2991" spans="25:26">
      <c r="Y2991" s="1354"/>
      <c r="Z2991" s="1060"/>
    </row>
    <row r="2992" spans="25:26">
      <c r="Y2992" s="1354"/>
      <c r="Z2992" s="1060"/>
    </row>
    <row r="2993" spans="25:26">
      <c r="Y2993" s="1354"/>
      <c r="Z2993" s="1060"/>
    </row>
    <row r="2994" spans="25:26">
      <c r="Y2994" s="1354"/>
      <c r="Z2994" s="1060"/>
    </row>
    <row r="2995" spans="25:26">
      <c r="Y2995" s="1354"/>
      <c r="Z2995" s="1060"/>
    </row>
    <row r="2996" spans="25:26">
      <c r="Y2996" s="1354"/>
      <c r="Z2996" s="1060"/>
    </row>
    <row r="2997" spans="25:26">
      <c r="Y2997" s="1354"/>
      <c r="Z2997" s="1060"/>
    </row>
    <row r="2998" spans="25:26">
      <c r="Y2998" s="1354"/>
      <c r="Z2998" s="1060"/>
    </row>
    <row r="2999" spans="25:26">
      <c r="Y2999" s="1354"/>
      <c r="Z2999" s="1060"/>
    </row>
    <row r="3000" spans="25:26">
      <c r="Y3000" s="1354"/>
      <c r="Z3000" s="1060"/>
    </row>
    <row r="3001" spans="25:26">
      <c r="Y3001" s="1354"/>
      <c r="Z3001" s="1060"/>
    </row>
    <row r="3002" spans="25:26">
      <c r="Y3002" s="1354"/>
      <c r="Z3002" s="1060"/>
    </row>
    <row r="3003" spans="25:26">
      <c r="Y3003" s="1354"/>
      <c r="Z3003" s="1060"/>
    </row>
    <row r="3004" spans="25:26">
      <c r="Y3004" s="1354"/>
      <c r="Z3004" s="1060"/>
    </row>
    <row r="3005" spans="25:26">
      <c r="Y3005" s="1354"/>
      <c r="Z3005" s="1060"/>
    </row>
    <row r="3006" spans="25:26">
      <c r="Y3006" s="1354"/>
      <c r="Z3006" s="1060"/>
    </row>
    <row r="3007" spans="25:26">
      <c r="Y3007" s="1354"/>
      <c r="Z3007" s="1060"/>
    </row>
    <row r="3008" spans="25:26">
      <c r="Y3008" s="1354"/>
      <c r="Z3008" s="1060"/>
    </row>
    <row r="3009" spans="25:26">
      <c r="Y3009" s="1354"/>
      <c r="Z3009" s="1060"/>
    </row>
    <row r="3010" spans="25:26">
      <c r="Y3010" s="1354"/>
      <c r="Z3010" s="1060"/>
    </row>
    <row r="3011" spans="25:26">
      <c r="Y3011" s="1354"/>
      <c r="Z3011" s="1060"/>
    </row>
    <row r="3012" spans="25:26">
      <c r="Y3012" s="1354"/>
      <c r="Z3012" s="1060"/>
    </row>
    <row r="3013" spans="25:26">
      <c r="Y3013" s="1354"/>
      <c r="Z3013" s="1060"/>
    </row>
    <row r="3014" spans="25:26">
      <c r="Y3014" s="1354"/>
      <c r="Z3014" s="1060"/>
    </row>
    <row r="3015" spans="25:26">
      <c r="Y3015" s="1354"/>
      <c r="Z3015" s="1060"/>
    </row>
    <row r="3016" spans="25:26">
      <c r="Y3016" s="1354"/>
      <c r="Z3016" s="1060"/>
    </row>
    <row r="3017" spans="25:26">
      <c r="Y3017" s="1354"/>
      <c r="Z3017" s="1060"/>
    </row>
    <row r="3018" spans="25:26">
      <c r="Y3018" s="1354"/>
      <c r="Z3018" s="1060"/>
    </row>
    <row r="3019" spans="25:26">
      <c r="Y3019" s="1354"/>
      <c r="Z3019" s="1060"/>
    </row>
    <row r="3020" spans="25:26">
      <c r="Y3020" s="1354"/>
      <c r="Z3020" s="1060"/>
    </row>
    <row r="3021" spans="25:26">
      <c r="Y3021" s="1354"/>
      <c r="Z3021" s="1060"/>
    </row>
    <row r="3022" spans="25:26">
      <c r="Y3022" s="1354"/>
      <c r="Z3022" s="1060"/>
    </row>
    <row r="3023" spans="25:26">
      <c r="Y3023" s="1354"/>
      <c r="Z3023" s="1060"/>
    </row>
    <row r="3024" spans="25:26">
      <c r="Y3024" s="1354"/>
      <c r="Z3024" s="1060"/>
    </row>
    <row r="3025" spans="25:26">
      <c r="Y3025" s="1354"/>
      <c r="Z3025" s="1060"/>
    </row>
    <row r="3026" spans="25:26">
      <c r="Y3026" s="1354"/>
      <c r="Z3026" s="1060"/>
    </row>
    <row r="3027" spans="25:26">
      <c r="Y3027" s="1354"/>
      <c r="Z3027" s="1060"/>
    </row>
    <row r="3028" spans="25:26">
      <c r="Y3028" s="1354"/>
      <c r="Z3028" s="1060"/>
    </row>
    <row r="3029" spans="25:26">
      <c r="Y3029" s="1354"/>
      <c r="Z3029" s="1060"/>
    </row>
    <row r="3030" spans="25:26">
      <c r="Y3030" s="1354"/>
      <c r="Z3030" s="1060"/>
    </row>
    <row r="3031" spans="25:26">
      <c r="Y3031" s="1354"/>
      <c r="Z3031" s="1060"/>
    </row>
    <row r="3032" spans="25:26">
      <c r="Y3032" s="1354"/>
      <c r="Z3032" s="1060"/>
    </row>
    <row r="3033" spans="25:26">
      <c r="Y3033" s="1354"/>
      <c r="Z3033" s="1060"/>
    </row>
    <row r="3034" spans="25:26">
      <c r="Y3034" s="1354"/>
      <c r="Z3034" s="1060"/>
    </row>
    <row r="3035" spans="25:26">
      <c r="Y3035" s="1354"/>
      <c r="Z3035" s="1060"/>
    </row>
    <row r="3036" spans="25:26">
      <c r="Y3036" s="1354"/>
      <c r="Z3036" s="1060"/>
    </row>
    <row r="3037" spans="25:26">
      <c r="Y3037" s="1354"/>
      <c r="Z3037" s="1060"/>
    </row>
    <row r="3038" spans="25:26">
      <c r="Y3038" s="1354"/>
      <c r="Z3038" s="1060"/>
    </row>
    <row r="3039" spans="25:26">
      <c r="Y3039" s="1354"/>
      <c r="Z3039" s="1060"/>
    </row>
    <row r="3040" spans="25:26">
      <c r="Y3040" s="1354"/>
      <c r="Z3040" s="1060"/>
    </row>
    <row r="3041" spans="25:26">
      <c r="Y3041" s="1354"/>
      <c r="Z3041" s="1060"/>
    </row>
    <row r="3042" spans="25:26">
      <c r="Y3042" s="1354"/>
      <c r="Z3042" s="1060"/>
    </row>
    <row r="3043" spans="25:26">
      <c r="Y3043" s="1354"/>
      <c r="Z3043" s="1060"/>
    </row>
    <row r="3044" spans="25:26">
      <c r="Y3044" s="1354"/>
      <c r="Z3044" s="1060"/>
    </row>
    <row r="3045" spans="25:26">
      <c r="Y3045" s="1354"/>
      <c r="Z3045" s="1060"/>
    </row>
    <row r="3046" spans="25:26">
      <c r="Y3046" s="1354"/>
      <c r="Z3046" s="1060"/>
    </row>
    <row r="3047" spans="25:26">
      <c r="Y3047" s="1354"/>
      <c r="Z3047" s="1060"/>
    </row>
    <row r="3048" spans="25:26">
      <c r="Y3048" s="1354"/>
      <c r="Z3048" s="1060"/>
    </row>
    <row r="3049" spans="25:26">
      <c r="Y3049" s="1354"/>
      <c r="Z3049" s="1060"/>
    </row>
    <row r="3050" spans="25:26">
      <c r="Y3050" s="1354"/>
      <c r="Z3050" s="1060"/>
    </row>
    <row r="3051" spans="25:26">
      <c r="Y3051" s="1354"/>
      <c r="Z3051" s="1060"/>
    </row>
    <row r="3052" spans="25:26">
      <c r="Y3052" s="1354"/>
      <c r="Z3052" s="1060"/>
    </row>
    <row r="3053" spans="25:26">
      <c r="Y3053" s="1354"/>
      <c r="Z3053" s="1060"/>
    </row>
    <row r="3054" spans="25:26">
      <c r="Y3054" s="1354"/>
      <c r="Z3054" s="1060"/>
    </row>
    <row r="3055" spans="25:26">
      <c r="Y3055" s="1354"/>
      <c r="Z3055" s="1060"/>
    </row>
    <row r="3056" spans="25:26">
      <c r="Y3056" s="1354"/>
      <c r="Z3056" s="1060"/>
    </row>
    <row r="3057" spans="25:26">
      <c r="Y3057" s="1354"/>
      <c r="Z3057" s="1060"/>
    </row>
    <row r="3058" spans="25:26">
      <c r="Y3058" s="1354"/>
      <c r="Z3058" s="1060"/>
    </row>
    <row r="3059" spans="25:26">
      <c r="Y3059" s="1354"/>
      <c r="Z3059" s="1060"/>
    </row>
    <row r="3060" spans="25:26">
      <c r="Y3060" s="1354"/>
      <c r="Z3060" s="1060"/>
    </row>
    <row r="3061" spans="25:26">
      <c r="Y3061" s="1354"/>
      <c r="Z3061" s="1060"/>
    </row>
    <row r="3062" spans="25:26">
      <c r="Y3062" s="1354"/>
      <c r="Z3062" s="1060"/>
    </row>
    <row r="3063" spans="25:26">
      <c r="Y3063" s="1354"/>
      <c r="Z3063" s="1060"/>
    </row>
    <row r="3064" spans="25:26">
      <c r="Y3064" s="1354"/>
      <c r="Z3064" s="1060"/>
    </row>
    <row r="3065" spans="25:26">
      <c r="Y3065" s="1354"/>
      <c r="Z3065" s="1060"/>
    </row>
    <row r="3066" spans="25:26">
      <c r="Y3066" s="1354"/>
      <c r="Z3066" s="1060"/>
    </row>
    <row r="3067" spans="25:26">
      <c r="Y3067" s="1354"/>
      <c r="Z3067" s="1060"/>
    </row>
    <row r="3068" spans="25:26">
      <c r="Y3068" s="1354"/>
      <c r="Z3068" s="1060"/>
    </row>
    <row r="3069" spans="25:26">
      <c r="Y3069" s="1354"/>
      <c r="Z3069" s="1060"/>
    </row>
    <row r="3070" spans="25:26">
      <c r="Y3070" s="1354"/>
      <c r="Z3070" s="1060"/>
    </row>
    <row r="3071" spans="25:26">
      <c r="Y3071" s="1354"/>
      <c r="Z3071" s="1060"/>
    </row>
    <row r="3072" spans="25:26">
      <c r="Y3072" s="1354"/>
      <c r="Z3072" s="1060"/>
    </row>
    <row r="3073" spans="25:26">
      <c r="Y3073" s="1354"/>
      <c r="Z3073" s="1060"/>
    </row>
    <row r="3074" spans="25:26">
      <c r="Y3074" s="1354"/>
      <c r="Z3074" s="1060"/>
    </row>
    <row r="3075" spans="25:26">
      <c r="Y3075" s="1354"/>
      <c r="Z3075" s="1060"/>
    </row>
    <row r="3076" spans="25:26">
      <c r="Y3076" s="1354"/>
      <c r="Z3076" s="1060"/>
    </row>
    <row r="3077" spans="25:26">
      <c r="Y3077" s="1354"/>
      <c r="Z3077" s="1060"/>
    </row>
    <row r="3078" spans="25:26">
      <c r="Y3078" s="1354"/>
      <c r="Z3078" s="1060"/>
    </row>
    <row r="3079" spans="25:26">
      <c r="Y3079" s="1354"/>
      <c r="Z3079" s="1060"/>
    </row>
    <row r="3080" spans="25:26">
      <c r="Y3080" s="1354"/>
      <c r="Z3080" s="1060"/>
    </row>
    <row r="3081" spans="25:26">
      <c r="Y3081" s="1354"/>
      <c r="Z3081" s="1060"/>
    </row>
    <row r="3082" spans="25:26">
      <c r="Y3082" s="1354"/>
      <c r="Z3082" s="1060"/>
    </row>
    <row r="3083" spans="25:26">
      <c r="Y3083" s="1354"/>
      <c r="Z3083" s="1060"/>
    </row>
    <row r="3084" spans="25:26">
      <c r="Y3084" s="1354"/>
      <c r="Z3084" s="1060"/>
    </row>
    <row r="3085" spans="25:26">
      <c r="Y3085" s="1354"/>
      <c r="Z3085" s="1060"/>
    </row>
    <row r="3086" spans="25:26">
      <c r="Y3086" s="1354"/>
      <c r="Z3086" s="1060"/>
    </row>
    <row r="3087" spans="25:26">
      <c r="Y3087" s="1354"/>
      <c r="Z3087" s="1060"/>
    </row>
    <row r="3088" spans="25:26">
      <c r="Y3088" s="1354"/>
      <c r="Z3088" s="1060"/>
    </row>
    <row r="3089" spans="25:26">
      <c r="Y3089" s="1354"/>
      <c r="Z3089" s="1060"/>
    </row>
    <row r="3090" spans="25:26">
      <c r="Y3090" s="1354"/>
      <c r="Z3090" s="1060"/>
    </row>
    <row r="3091" spans="25:26">
      <c r="Y3091" s="1354"/>
      <c r="Z3091" s="1060"/>
    </row>
    <row r="3092" spans="25:26">
      <c r="Y3092" s="1354"/>
      <c r="Z3092" s="1060"/>
    </row>
    <row r="3093" spans="25:26">
      <c r="Y3093" s="1354"/>
      <c r="Z3093" s="1060"/>
    </row>
    <row r="3094" spans="25:26">
      <c r="Y3094" s="1354"/>
      <c r="Z3094" s="1060"/>
    </row>
    <row r="3095" spans="25:26">
      <c r="Y3095" s="1354"/>
      <c r="Z3095" s="1060"/>
    </row>
    <row r="3096" spans="25:26">
      <c r="Y3096" s="1354"/>
      <c r="Z3096" s="1060"/>
    </row>
    <row r="3097" spans="25:26">
      <c r="Y3097" s="1354"/>
      <c r="Z3097" s="1060"/>
    </row>
    <row r="3098" spans="25:26">
      <c r="Y3098" s="1354"/>
      <c r="Z3098" s="1060"/>
    </row>
    <row r="3099" spans="25:26">
      <c r="Y3099" s="1354"/>
      <c r="Z3099" s="1060"/>
    </row>
    <row r="3100" spans="25:26">
      <c r="Y3100" s="1354"/>
      <c r="Z3100" s="1060"/>
    </row>
    <row r="3101" spans="25:26">
      <c r="Y3101" s="1354"/>
      <c r="Z3101" s="1060"/>
    </row>
    <row r="3102" spans="25:26">
      <c r="Y3102" s="1354"/>
      <c r="Z3102" s="1060"/>
    </row>
    <row r="3103" spans="25:26">
      <c r="Y3103" s="1354"/>
      <c r="Z3103" s="1060"/>
    </row>
    <row r="3104" spans="25:26">
      <c r="Y3104" s="1354"/>
      <c r="Z3104" s="1060"/>
    </row>
    <row r="3105" spans="25:26">
      <c r="Y3105" s="1354"/>
      <c r="Z3105" s="1060"/>
    </row>
    <row r="3106" spans="25:26">
      <c r="Y3106" s="1354"/>
      <c r="Z3106" s="1060"/>
    </row>
    <row r="3107" spans="25:26">
      <c r="Y3107" s="1354"/>
      <c r="Z3107" s="1060"/>
    </row>
    <row r="3108" spans="25:26">
      <c r="Y3108" s="1354"/>
      <c r="Z3108" s="1060"/>
    </row>
    <row r="3109" spans="25:26">
      <c r="Y3109" s="1354"/>
      <c r="Z3109" s="1060"/>
    </row>
    <row r="3110" spans="25:26">
      <c r="Y3110" s="1354"/>
      <c r="Z3110" s="1060"/>
    </row>
    <row r="3111" spans="25:26">
      <c r="Y3111" s="1354"/>
      <c r="Z3111" s="1060"/>
    </row>
    <row r="3112" spans="25:26">
      <c r="Y3112" s="1354"/>
      <c r="Z3112" s="1060"/>
    </row>
    <row r="3113" spans="25:26">
      <c r="Y3113" s="1354"/>
      <c r="Z3113" s="1060"/>
    </row>
    <row r="3114" spans="25:26">
      <c r="Y3114" s="1354"/>
      <c r="Z3114" s="1060"/>
    </row>
    <row r="3115" spans="25:26">
      <c r="Y3115" s="1354"/>
      <c r="Z3115" s="1060"/>
    </row>
    <row r="3116" spans="25:26">
      <c r="Y3116" s="1354"/>
      <c r="Z3116" s="1060"/>
    </row>
    <row r="3117" spans="25:26">
      <c r="Y3117" s="1354"/>
      <c r="Z3117" s="1060"/>
    </row>
    <row r="3118" spans="25:26">
      <c r="Y3118" s="1354"/>
      <c r="Z3118" s="1060"/>
    </row>
    <row r="3119" spans="25:26">
      <c r="Y3119" s="1354"/>
      <c r="Z3119" s="1060"/>
    </row>
    <row r="3120" spans="25:26">
      <c r="Y3120" s="1354"/>
      <c r="Z3120" s="1060"/>
    </row>
    <row r="3121" spans="25:26">
      <c r="Y3121" s="1354"/>
      <c r="Z3121" s="1060"/>
    </row>
    <row r="3122" spans="25:26">
      <c r="Y3122" s="1354"/>
      <c r="Z3122" s="1060"/>
    </row>
    <row r="3123" spans="25:26">
      <c r="Y3123" s="1354"/>
      <c r="Z3123" s="1060"/>
    </row>
    <row r="3124" spans="25:26">
      <c r="Y3124" s="1354"/>
      <c r="Z3124" s="1060"/>
    </row>
    <row r="3125" spans="25:26">
      <c r="Y3125" s="1354"/>
      <c r="Z3125" s="1060"/>
    </row>
    <row r="3126" spans="25:26">
      <c r="Y3126" s="1354"/>
      <c r="Z3126" s="1060"/>
    </row>
    <row r="3127" spans="25:26">
      <c r="Y3127" s="1354"/>
      <c r="Z3127" s="1060"/>
    </row>
    <row r="3128" spans="25:26">
      <c r="Y3128" s="1354"/>
      <c r="Z3128" s="1060"/>
    </row>
    <row r="3129" spans="25:26">
      <c r="Y3129" s="1354"/>
      <c r="Z3129" s="1060"/>
    </row>
    <row r="3130" spans="25:26">
      <c r="Y3130" s="1354"/>
      <c r="Z3130" s="1060"/>
    </row>
    <row r="3131" spans="25:26">
      <c r="Y3131" s="1354"/>
      <c r="Z3131" s="1060"/>
    </row>
    <row r="3132" spans="25:26">
      <c r="Y3132" s="1354"/>
      <c r="Z3132" s="1060"/>
    </row>
    <row r="3133" spans="25:26">
      <c r="Y3133" s="1354"/>
      <c r="Z3133" s="1060"/>
    </row>
    <row r="3134" spans="25:26">
      <c r="Y3134" s="1354"/>
      <c r="Z3134" s="1060"/>
    </row>
    <row r="3135" spans="25:26">
      <c r="Y3135" s="1354"/>
      <c r="Z3135" s="1060"/>
    </row>
    <row r="3136" spans="25:26">
      <c r="Y3136" s="1354"/>
      <c r="Z3136" s="1060"/>
    </row>
    <row r="3137" spans="25:26">
      <c r="Y3137" s="1354"/>
      <c r="Z3137" s="1060"/>
    </row>
    <row r="3138" spans="25:26">
      <c r="Y3138" s="1354"/>
      <c r="Z3138" s="1060"/>
    </row>
    <row r="3139" spans="25:26">
      <c r="Y3139" s="1354"/>
      <c r="Z3139" s="1060"/>
    </row>
    <row r="3140" spans="25:26">
      <c r="Y3140" s="1354"/>
      <c r="Z3140" s="1060"/>
    </row>
    <row r="3141" spans="25:26">
      <c r="Y3141" s="1354"/>
      <c r="Z3141" s="1060"/>
    </row>
    <row r="3142" spans="25:26">
      <c r="Y3142" s="1354"/>
      <c r="Z3142" s="1060"/>
    </row>
    <row r="3143" spans="25:26">
      <c r="Y3143" s="1354"/>
      <c r="Z3143" s="1060"/>
    </row>
    <row r="3144" spans="25:26">
      <c r="Y3144" s="1354"/>
      <c r="Z3144" s="1060"/>
    </row>
    <row r="3145" spans="25:26">
      <c r="Y3145" s="1354"/>
      <c r="Z3145" s="1060"/>
    </row>
    <row r="3146" spans="25:26">
      <c r="Y3146" s="1354"/>
      <c r="Z3146" s="1060"/>
    </row>
    <row r="3147" spans="25:26">
      <c r="Y3147" s="1354"/>
      <c r="Z3147" s="1060"/>
    </row>
    <row r="3148" spans="25:26">
      <c r="Y3148" s="1354"/>
      <c r="Z3148" s="1060"/>
    </row>
    <row r="3149" spans="25:26">
      <c r="Y3149" s="1354"/>
      <c r="Z3149" s="1060"/>
    </row>
    <row r="3150" spans="25:26">
      <c r="Y3150" s="1354"/>
      <c r="Z3150" s="1060"/>
    </row>
    <row r="3151" spans="25:26">
      <c r="Y3151" s="1354"/>
      <c r="Z3151" s="1060"/>
    </row>
    <row r="3152" spans="25:26">
      <c r="Y3152" s="1354"/>
      <c r="Z3152" s="1060"/>
    </row>
    <row r="3153" spans="25:26">
      <c r="Y3153" s="1354"/>
      <c r="Z3153" s="1060"/>
    </row>
    <row r="3154" spans="25:26">
      <c r="Y3154" s="1354"/>
      <c r="Z3154" s="1060"/>
    </row>
    <row r="3155" spans="25:26">
      <c r="Y3155" s="1354"/>
      <c r="Z3155" s="1060"/>
    </row>
    <row r="3156" spans="25:26">
      <c r="Y3156" s="1354"/>
      <c r="Z3156" s="1060"/>
    </row>
    <row r="3157" spans="25:26">
      <c r="Y3157" s="1354"/>
      <c r="Z3157" s="1060"/>
    </row>
    <row r="3158" spans="25:26">
      <c r="Y3158" s="1354"/>
      <c r="Z3158" s="1060"/>
    </row>
    <row r="3159" spans="25:26">
      <c r="Y3159" s="1354"/>
      <c r="Z3159" s="1060"/>
    </row>
    <row r="3160" spans="25:26">
      <c r="Y3160" s="1354"/>
      <c r="Z3160" s="1060"/>
    </row>
    <row r="3161" spans="25:26">
      <c r="Y3161" s="1354"/>
      <c r="Z3161" s="1060"/>
    </row>
    <row r="3162" spans="25:26">
      <c r="Y3162" s="1354"/>
      <c r="Z3162" s="1060"/>
    </row>
    <row r="3163" spans="25:26">
      <c r="Y3163" s="1354"/>
      <c r="Z3163" s="1060"/>
    </row>
    <row r="3164" spans="25:26">
      <c r="Y3164" s="1354"/>
      <c r="Z3164" s="1060"/>
    </row>
    <row r="3165" spans="25:26">
      <c r="Y3165" s="1354"/>
      <c r="Z3165" s="1060"/>
    </row>
    <row r="3166" spans="25:26">
      <c r="Y3166" s="1354"/>
      <c r="Z3166" s="1060"/>
    </row>
    <row r="3167" spans="25:26">
      <c r="Y3167" s="1354"/>
      <c r="Z3167" s="1060"/>
    </row>
    <row r="3168" spans="25:26">
      <c r="Y3168" s="1354"/>
      <c r="Z3168" s="1060"/>
    </row>
    <row r="3169" spans="25:26">
      <c r="Y3169" s="1354"/>
      <c r="Z3169" s="1060"/>
    </row>
    <row r="3170" spans="25:26">
      <c r="Y3170" s="1354"/>
      <c r="Z3170" s="1060"/>
    </row>
    <row r="3171" spans="25:26">
      <c r="Y3171" s="1354"/>
      <c r="Z3171" s="1060"/>
    </row>
    <row r="3172" spans="25:26">
      <c r="Y3172" s="1354"/>
      <c r="Z3172" s="1060"/>
    </row>
    <row r="3173" spans="25:26">
      <c r="Y3173" s="1354"/>
      <c r="Z3173" s="1060"/>
    </row>
    <row r="3174" spans="25:26">
      <c r="Y3174" s="1354"/>
      <c r="Z3174" s="1060"/>
    </row>
    <row r="3175" spans="25:26">
      <c r="Y3175" s="1354"/>
      <c r="Z3175" s="1060"/>
    </row>
    <row r="3176" spans="25:26">
      <c r="Y3176" s="1354"/>
      <c r="Z3176" s="1060"/>
    </row>
    <row r="3177" spans="25:26">
      <c r="Y3177" s="1354"/>
      <c r="Z3177" s="1060"/>
    </row>
    <row r="3178" spans="25:26">
      <c r="Y3178" s="1354"/>
      <c r="Z3178" s="1060"/>
    </row>
    <row r="3179" spans="25:26">
      <c r="Y3179" s="1354"/>
      <c r="Z3179" s="1060"/>
    </row>
    <row r="3180" spans="25:26">
      <c r="Y3180" s="1354"/>
      <c r="Z3180" s="1060"/>
    </row>
    <row r="3181" spans="25:26">
      <c r="Y3181" s="1354"/>
      <c r="Z3181" s="1060"/>
    </row>
    <row r="3182" spans="25:26">
      <c r="Y3182" s="1354"/>
      <c r="Z3182" s="1060"/>
    </row>
    <row r="3183" spans="25:26">
      <c r="Y3183" s="1354"/>
      <c r="Z3183" s="1060"/>
    </row>
    <row r="3184" spans="25:26">
      <c r="Y3184" s="1354"/>
      <c r="Z3184" s="1060"/>
    </row>
    <row r="3185" spans="25:26">
      <c r="Y3185" s="1354"/>
      <c r="Z3185" s="1060"/>
    </row>
    <row r="3186" spans="25:26">
      <c r="Y3186" s="1354"/>
      <c r="Z3186" s="1060"/>
    </row>
    <row r="3187" spans="25:26">
      <c r="Y3187" s="1354"/>
      <c r="Z3187" s="1060"/>
    </row>
    <row r="3188" spans="25:26">
      <c r="Y3188" s="1354"/>
      <c r="Z3188" s="1060"/>
    </row>
    <row r="3189" spans="25:26">
      <c r="Y3189" s="1354"/>
      <c r="Z3189" s="1060"/>
    </row>
    <row r="3190" spans="25:26">
      <c r="Y3190" s="1354"/>
      <c r="Z3190" s="1060"/>
    </row>
    <row r="3191" spans="25:26">
      <c r="Y3191" s="1354"/>
      <c r="Z3191" s="1060"/>
    </row>
    <row r="3192" spans="25:26">
      <c r="Y3192" s="1354"/>
      <c r="Z3192" s="1060"/>
    </row>
    <row r="3193" spans="25:26">
      <c r="Y3193" s="1354"/>
      <c r="Z3193" s="1060"/>
    </row>
    <row r="3194" spans="25:26">
      <c r="Y3194" s="1354"/>
      <c r="Z3194" s="1060"/>
    </row>
    <row r="3195" spans="25:26">
      <c r="Y3195" s="1354"/>
      <c r="Z3195" s="1060"/>
    </row>
    <row r="3196" spans="25:26">
      <c r="Y3196" s="1354"/>
      <c r="Z3196" s="1060"/>
    </row>
    <row r="3197" spans="25:26">
      <c r="Y3197" s="1354"/>
      <c r="Z3197" s="1060"/>
    </row>
    <row r="3198" spans="25:26">
      <c r="Y3198" s="1354"/>
      <c r="Z3198" s="1060"/>
    </row>
    <row r="3199" spans="25:26">
      <c r="Y3199" s="1354"/>
      <c r="Z3199" s="1060"/>
    </row>
    <row r="3200" spans="25:26">
      <c r="Y3200" s="1354"/>
      <c r="Z3200" s="1060"/>
    </row>
    <row r="3201" spans="25:26">
      <c r="Y3201" s="1354"/>
      <c r="Z3201" s="1060"/>
    </row>
    <row r="3202" spans="25:26">
      <c r="Y3202" s="1354"/>
      <c r="Z3202" s="1060"/>
    </row>
    <row r="3203" spans="25:26">
      <c r="Y3203" s="1354"/>
      <c r="Z3203" s="1060"/>
    </row>
    <row r="3204" spans="25:26">
      <c r="Y3204" s="1354"/>
      <c r="Z3204" s="1060"/>
    </row>
    <row r="3205" spans="25:26">
      <c r="Y3205" s="1354"/>
      <c r="Z3205" s="1060"/>
    </row>
    <row r="3206" spans="25:26">
      <c r="Y3206" s="1354"/>
      <c r="Z3206" s="1060"/>
    </row>
    <row r="3207" spans="25:26">
      <c r="Y3207" s="1354"/>
      <c r="Z3207" s="1060"/>
    </row>
    <row r="3208" spans="25:26">
      <c r="Y3208" s="1354"/>
      <c r="Z3208" s="1060"/>
    </row>
    <row r="3209" spans="25:26">
      <c r="Y3209" s="1354"/>
      <c r="Z3209" s="1060"/>
    </row>
    <row r="3210" spans="25:26">
      <c r="Y3210" s="1354"/>
      <c r="Z3210" s="1060"/>
    </row>
    <row r="3211" spans="25:26">
      <c r="Y3211" s="1354"/>
      <c r="Z3211" s="1060"/>
    </row>
    <row r="3212" spans="25:26">
      <c r="Y3212" s="1354"/>
      <c r="Z3212" s="1060"/>
    </row>
    <row r="3213" spans="25:26">
      <c r="Y3213" s="1354"/>
      <c r="Z3213" s="1060"/>
    </row>
    <row r="3214" spans="25:26">
      <c r="Y3214" s="1354"/>
      <c r="Z3214" s="1060"/>
    </row>
    <row r="3215" spans="25:26">
      <c r="Y3215" s="1354"/>
      <c r="Z3215" s="1060"/>
    </row>
    <row r="3216" spans="25:26">
      <c r="Y3216" s="1354"/>
      <c r="Z3216" s="1060"/>
    </row>
    <row r="3217" spans="25:26">
      <c r="Y3217" s="1354"/>
      <c r="Z3217" s="1060"/>
    </row>
    <row r="3218" spans="25:26">
      <c r="Y3218" s="1354"/>
      <c r="Z3218" s="1060"/>
    </row>
    <row r="3219" spans="25:26">
      <c r="Y3219" s="1354"/>
      <c r="Z3219" s="1060"/>
    </row>
    <row r="3220" spans="25:26">
      <c r="Y3220" s="1354"/>
      <c r="Z3220" s="1060"/>
    </row>
    <row r="3221" spans="25:26">
      <c r="Y3221" s="1354"/>
      <c r="Z3221" s="1060"/>
    </row>
    <row r="3222" spans="25:26">
      <c r="Y3222" s="1354"/>
      <c r="Z3222" s="1060"/>
    </row>
    <row r="3223" spans="25:26">
      <c r="Y3223" s="1354"/>
      <c r="Z3223" s="1060"/>
    </row>
    <row r="3224" spans="25:26">
      <c r="Y3224" s="1354"/>
      <c r="Z3224" s="1060"/>
    </row>
    <row r="3225" spans="25:26">
      <c r="Y3225" s="1354"/>
      <c r="Z3225" s="1060"/>
    </row>
    <row r="3226" spans="25:26">
      <c r="Y3226" s="1354"/>
      <c r="Z3226" s="1060"/>
    </row>
    <row r="3227" spans="25:26">
      <c r="Y3227" s="1354"/>
      <c r="Z3227" s="1060"/>
    </row>
    <row r="3228" spans="25:26">
      <c r="Y3228" s="1354"/>
      <c r="Z3228" s="1060"/>
    </row>
    <row r="3229" spans="25:26">
      <c r="Y3229" s="1354"/>
      <c r="Z3229" s="1060"/>
    </row>
    <row r="3230" spans="25:26">
      <c r="Y3230" s="1354"/>
      <c r="Z3230" s="1060"/>
    </row>
    <row r="3231" spans="25:26">
      <c r="Y3231" s="1354"/>
      <c r="Z3231" s="1060"/>
    </row>
    <row r="3232" spans="25:26">
      <c r="Y3232" s="1354"/>
      <c r="Z3232" s="1060"/>
    </row>
    <row r="3233" spans="25:26">
      <c r="Y3233" s="1354"/>
      <c r="Z3233" s="1060"/>
    </row>
    <row r="3234" spans="25:26">
      <c r="Y3234" s="1354"/>
      <c r="Z3234" s="1060"/>
    </row>
    <row r="3235" spans="25:26">
      <c r="Y3235" s="1354"/>
      <c r="Z3235" s="1060"/>
    </row>
    <row r="3236" spans="25:26">
      <c r="Y3236" s="1354"/>
      <c r="Z3236" s="1060"/>
    </row>
    <row r="3237" spans="25:26">
      <c r="Y3237" s="1354"/>
      <c r="Z3237" s="1060"/>
    </row>
    <row r="3238" spans="25:26">
      <c r="Y3238" s="1354"/>
      <c r="Z3238" s="1060"/>
    </row>
    <row r="3239" spans="25:26">
      <c r="Y3239" s="1354"/>
      <c r="Z3239" s="1060"/>
    </row>
    <row r="3240" spans="25:26">
      <c r="Y3240" s="1354"/>
      <c r="Z3240" s="1060"/>
    </row>
    <row r="3241" spans="25:26">
      <c r="Y3241" s="1354"/>
      <c r="Z3241" s="1060"/>
    </row>
    <row r="3242" spans="25:26">
      <c r="Y3242" s="1354"/>
      <c r="Z3242" s="1060"/>
    </row>
    <row r="3243" spans="25:26">
      <c r="Y3243" s="1354"/>
      <c r="Z3243" s="1060"/>
    </row>
    <row r="3244" spans="25:26">
      <c r="Y3244" s="1354"/>
      <c r="Z3244" s="1060"/>
    </row>
    <row r="3245" spans="25:26">
      <c r="Y3245" s="1354"/>
      <c r="Z3245" s="1060"/>
    </row>
    <row r="3246" spans="25:26">
      <c r="Y3246" s="1354"/>
      <c r="Z3246" s="1060"/>
    </row>
    <row r="3247" spans="25:26">
      <c r="Y3247" s="1354"/>
      <c r="Z3247" s="1060"/>
    </row>
    <row r="3248" spans="25:26">
      <c r="Y3248" s="1354"/>
      <c r="Z3248" s="1060"/>
    </row>
    <row r="3249" spans="25:26">
      <c r="Y3249" s="1354"/>
      <c r="Z3249" s="1060"/>
    </row>
    <row r="3250" spans="25:26">
      <c r="Y3250" s="1354"/>
      <c r="Z3250" s="1060"/>
    </row>
    <row r="3251" spans="25:26">
      <c r="Y3251" s="1354"/>
      <c r="Z3251" s="1060"/>
    </row>
    <row r="3252" spans="25:26">
      <c r="Y3252" s="1354"/>
      <c r="Z3252" s="1060"/>
    </row>
    <row r="3253" spans="25:26">
      <c r="Y3253" s="1354"/>
      <c r="Z3253" s="1060"/>
    </row>
    <row r="3254" spans="25:26">
      <c r="Y3254" s="1354"/>
      <c r="Z3254" s="1060"/>
    </row>
    <row r="3255" spans="25:26">
      <c r="Y3255" s="1354"/>
      <c r="Z3255" s="1060"/>
    </row>
    <row r="3256" spans="25:26">
      <c r="Y3256" s="1354"/>
      <c r="Z3256" s="1060"/>
    </row>
    <row r="3257" spans="25:26">
      <c r="Y3257" s="1354"/>
      <c r="Z3257" s="1060"/>
    </row>
    <row r="3258" spans="25:26">
      <c r="Y3258" s="1354"/>
      <c r="Z3258" s="1060"/>
    </row>
    <row r="3259" spans="25:26">
      <c r="Y3259" s="1354"/>
      <c r="Z3259" s="1060"/>
    </row>
    <row r="3260" spans="25:26">
      <c r="Y3260" s="1354"/>
      <c r="Z3260" s="1060"/>
    </row>
    <row r="3261" spans="25:26">
      <c r="Y3261" s="1354"/>
      <c r="Z3261" s="1060"/>
    </row>
    <row r="3262" spans="25:26">
      <c r="Y3262" s="1354"/>
      <c r="Z3262" s="1060"/>
    </row>
    <row r="3263" spans="25:26">
      <c r="Y3263" s="1354"/>
      <c r="Z3263" s="1060"/>
    </row>
    <row r="3264" spans="25:26">
      <c r="Y3264" s="1354"/>
      <c r="Z3264" s="1060"/>
    </row>
    <row r="3265" spans="25:26">
      <c r="Y3265" s="1354"/>
      <c r="Z3265" s="1060"/>
    </row>
    <row r="3266" spans="25:26">
      <c r="Y3266" s="1354"/>
      <c r="Z3266" s="1060"/>
    </row>
    <row r="3267" spans="25:26">
      <c r="Y3267" s="1354"/>
      <c r="Z3267" s="1060"/>
    </row>
    <row r="3268" spans="25:26">
      <c r="Y3268" s="1354"/>
      <c r="Z3268" s="1060"/>
    </row>
    <row r="3269" spans="25:26">
      <c r="Y3269" s="1354"/>
      <c r="Z3269" s="1060"/>
    </row>
    <row r="3270" spans="25:26">
      <c r="Y3270" s="1354"/>
      <c r="Z3270" s="1060"/>
    </row>
    <row r="3271" spans="25:26">
      <c r="Y3271" s="1354"/>
      <c r="Z3271" s="1060"/>
    </row>
    <row r="3272" spans="25:26">
      <c r="Y3272" s="1354"/>
      <c r="Z3272" s="1060"/>
    </row>
    <row r="3273" spans="25:26">
      <c r="Y3273" s="1354"/>
      <c r="Z3273" s="1060"/>
    </row>
    <row r="3274" spans="25:26">
      <c r="Y3274" s="1354"/>
      <c r="Z3274" s="1060"/>
    </row>
    <row r="3275" spans="25:26">
      <c r="Y3275" s="1354"/>
      <c r="Z3275" s="1060"/>
    </row>
    <row r="3276" spans="25:26">
      <c r="Y3276" s="1354"/>
      <c r="Z3276" s="1060"/>
    </row>
    <row r="3277" spans="25:26">
      <c r="Y3277" s="1354"/>
      <c r="Z3277" s="1060"/>
    </row>
    <row r="3278" spans="25:26">
      <c r="Y3278" s="1354"/>
      <c r="Z3278" s="1060"/>
    </row>
    <row r="3279" spans="25:26">
      <c r="Y3279" s="1354"/>
      <c r="Z3279" s="1060"/>
    </row>
    <row r="3280" spans="25:26">
      <c r="Y3280" s="1354"/>
      <c r="Z3280" s="1060"/>
    </row>
    <row r="3281" spans="25:26">
      <c r="Y3281" s="1354"/>
      <c r="Z3281" s="1060"/>
    </row>
    <row r="3282" spans="25:26">
      <c r="Y3282" s="1354"/>
      <c r="Z3282" s="1060"/>
    </row>
    <row r="3283" spans="25:26">
      <c r="Y3283" s="1354"/>
      <c r="Z3283" s="1060"/>
    </row>
    <row r="3284" spans="25:26">
      <c r="Y3284" s="1354"/>
      <c r="Z3284" s="1060"/>
    </row>
    <row r="3285" spans="25:26">
      <c r="Y3285" s="1354"/>
      <c r="Z3285" s="1060"/>
    </row>
    <row r="3286" spans="25:26">
      <c r="Y3286" s="1354"/>
      <c r="Z3286" s="1060"/>
    </row>
    <row r="3287" spans="25:26">
      <c r="Y3287" s="1354"/>
      <c r="Z3287" s="1060"/>
    </row>
    <row r="3288" spans="25:26">
      <c r="Y3288" s="1354"/>
      <c r="Z3288" s="1060"/>
    </row>
    <row r="3289" spans="25:26">
      <c r="Y3289" s="1354"/>
      <c r="Z3289" s="1060"/>
    </row>
    <row r="3290" spans="25:26">
      <c r="Y3290" s="1354"/>
      <c r="Z3290" s="1060"/>
    </row>
    <row r="3291" spans="25:26">
      <c r="Y3291" s="1354"/>
      <c r="Z3291" s="1060"/>
    </row>
    <row r="3292" spans="25:26">
      <c r="Y3292" s="1354"/>
      <c r="Z3292" s="1060"/>
    </row>
    <row r="3293" spans="25:26">
      <c r="Y3293" s="1354"/>
      <c r="Z3293" s="1060"/>
    </row>
    <row r="3294" spans="25:26">
      <c r="Y3294" s="1354"/>
      <c r="Z3294" s="1060"/>
    </row>
    <row r="3295" spans="25:26">
      <c r="Y3295" s="1354"/>
      <c r="Z3295" s="1060"/>
    </row>
    <row r="3296" spans="25:26">
      <c r="Y3296" s="1354"/>
      <c r="Z3296" s="1060"/>
    </row>
    <row r="3297" spans="25:26">
      <c r="Y3297" s="1354"/>
      <c r="Z3297" s="1060"/>
    </row>
    <row r="3298" spans="25:26">
      <c r="Y3298" s="1354"/>
      <c r="Z3298" s="1060"/>
    </row>
    <row r="3299" spans="25:26">
      <c r="Y3299" s="1354"/>
      <c r="Z3299" s="1060"/>
    </row>
    <row r="3300" spans="25:26">
      <c r="Y3300" s="1354"/>
      <c r="Z3300" s="1060"/>
    </row>
    <row r="3301" spans="25:26">
      <c r="Y3301" s="1354"/>
      <c r="Z3301" s="1060"/>
    </row>
    <row r="3302" spans="25:26">
      <c r="Y3302" s="1354"/>
      <c r="Z3302" s="1060"/>
    </row>
    <row r="3303" spans="25:26">
      <c r="Y3303" s="1354"/>
      <c r="Z3303" s="1060"/>
    </row>
    <row r="3304" spans="25:26">
      <c r="Y3304" s="1354"/>
      <c r="Z3304" s="1060"/>
    </row>
    <row r="3305" spans="25:26">
      <c r="Y3305" s="1354"/>
      <c r="Z3305" s="1060"/>
    </row>
    <row r="3306" spans="25:26">
      <c r="Y3306" s="1354"/>
      <c r="Z3306" s="1060"/>
    </row>
    <row r="3307" spans="25:26">
      <c r="Y3307" s="1354"/>
      <c r="Z3307" s="1060"/>
    </row>
    <row r="3308" spans="25:26">
      <c r="Y3308" s="1354"/>
      <c r="Z3308" s="1060"/>
    </row>
    <row r="3309" spans="25:26">
      <c r="Y3309" s="1354"/>
      <c r="Z3309" s="1060"/>
    </row>
    <row r="3310" spans="25:26">
      <c r="Y3310" s="1354"/>
      <c r="Z3310" s="1060"/>
    </row>
    <row r="3311" spans="25:26">
      <c r="Y3311" s="1354"/>
      <c r="Z3311" s="1060"/>
    </row>
    <row r="3312" spans="25:26">
      <c r="Y3312" s="1354"/>
      <c r="Z3312" s="1060"/>
    </row>
    <row r="3313" spans="25:26">
      <c r="Y3313" s="1354"/>
      <c r="Z3313" s="1060"/>
    </row>
    <row r="3314" spans="25:26">
      <c r="Y3314" s="1354"/>
      <c r="Z3314" s="1060"/>
    </row>
    <row r="3315" spans="25:26">
      <c r="Y3315" s="1354"/>
      <c r="Z3315" s="1060"/>
    </row>
    <row r="3316" spans="25:26">
      <c r="Y3316" s="1354"/>
      <c r="Z3316" s="1060"/>
    </row>
    <row r="3317" spans="25:26">
      <c r="Y3317" s="1354"/>
      <c r="Z3317" s="1060"/>
    </row>
    <row r="3318" spans="25:26">
      <c r="Y3318" s="1354"/>
      <c r="Z3318" s="1060"/>
    </row>
    <row r="3319" spans="25:26">
      <c r="Y3319" s="1354"/>
      <c r="Z3319" s="1060"/>
    </row>
    <row r="3320" spans="25:26">
      <c r="Y3320" s="1354"/>
      <c r="Z3320" s="1060"/>
    </row>
    <row r="3321" spans="25:26">
      <c r="Y3321" s="1354"/>
      <c r="Z3321" s="1060"/>
    </row>
    <row r="3322" spans="25:26">
      <c r="Y3322" s="1354"/>
      <c r="Z3322" s="1060"/>
    </row>
    <row r="3323" spans="25:26">
      <c r="Y3323" s="1354"/>
      <c r="Z3323" s="1060"/>
    </row>
    <row r="3324" spans="25:26">
      <c r="Y3324" s="1354"/>
      <c r="Z3324" s="1060"/>
    </row>
    <row r="3325" spans="25:26">
      <c r="Y3325" s="1354"/>
      <c r="Z3325" s="1060"/>
    </row>
    <row r="3326" spans="25:26">
      <c r="Y3326" s="1354"/>
      <c r="Z3326" s="1060"/>
    </row>
    <row r="3327" spans="25:26">
      <c r="Y3327" s="1354"/>
      <c r="Z3327" s="1060"/>
    </row>
    <row r="3328" spans="25:26">
      <c r="Y3328" s="1354"/>
      <c r="Z3328" s="1060"/>
    </row>
    <row r="3329" spans="25:26">
      <c r="Y3329" s="1354"/>
      <c r="Z3329" s="1060"/>
    </row>
    <row r="3330" spans="25:26">
      <c r="Y3330" s="1354"/>
      <c r="Z3330" s="1060"/>
    </row>
    <row r="3331" spans="25:26">
      <c r="Y3331" s="1354"/>
      <c r="Z3331" s="1060"/>
    </row>
    <row r="3332" spans="25:26">
      <c r="Y3332" s="1354"/>
      <c r="Z3332" s="1060"/>
    </row>
    <row r="3333" spans="25:26">
      <c r="Y3333" s="1354"/>
      <c r="Z3333" s="1060"/>
    </row>
    <row r="3334" spans="25:26">
      <c r="Y3334" s="1354"/>
      <c r="Z3334" s="1060"/>
    </row>
    <row r="3335" spans="25:26">
      <c r="Y3335" s="1354"/>
      <c r="Z3335" s="1060"/>
    </row>
    <row r="3336" spans="25:26">
      <c r="Y3336" s="1354"/>
      <c r="Z3336" s="1060"/>
    </row>
    <row r="3337" spans="25:26">
      <c r="Y3337" s="1354"/>
      <c r="Z3337" s="1060"/>
    </row>
    <row r="3338" spans="25:26">
      <c r="Y3338" s="1354"/>
      <c r="Z3338" s="1060"/>
    </row>
    <row r="3339" spans="25:26">
      <c r="Y3339" s="1354"/>
      <c r="Z3339" s="1060"/>
    </row>
    <row r="3340" spans="25:26">
      <c r="Y3340" s="1354"/>
      <c r="Z3340" s="1060"/>
    </row>
    <row r="3341" spans="25:26">
      <c r="Y3341" s="1354"/>
      <c r="Z3341" s="1060"/>
    </row>
    <row r="3342" spans="25:26">
      <c r="Y3342" s="1354"/>
      <c r="Z3342" s="1060"/>
    </row>
    <row r="3343" spans="25:26">
      <c r="Y3343" s="1354"/>
      <c r="Z3343" s="1060"/>
    </row>
    <row r="3344" spans="25:26">
      <c r="Y3344" s="1354"/>
      <c r="Z3344" s="1060"/>
    </row>
    <row r="3345" spans="25:26">
      <c r="Y3345" s="1354"/>
      <c r="Z3345" s="1060"/>
    </row>
    <row r="3346" spans="25:26">
      <c r="Y3346" s="1354"/>
      <c r="Z3346" s="1060"/>
    </row>
    <row r="3347" spans="25:26">
      <c r="Y3347" s="1354"/>
      <c r="Z3347" s="1060"/>
    </row>
    <row r="3348" spans="25:26">
      <c r="Y3348" s="1354"/>
      <c r="Z3348" s="1060"/>
    </row>
    <row r="3349" spans="25:26">
      <c r="Y3349" s="1354"/>
      <c r="Z3349" s="1060"/>
    </row>
    <row r="3350" spans="25:26">
      <c r="Y3350" s="1354"/>
      <c r="Z3350" s="1060"/>
    </row>
    <row r="3351" spans="25:26">
      <c r="Y3351" s="1354"/>
      <c r="Z3351" s="1060"/>
    </row>
    <row r="3352" spans="25:26">
      <c r="Y3352" s="1354"/>
      <c r="Z3352" s="1060"/>
    </row>
    <row r="3353" spans="25:26">
      <c r="Y3353" s="1354"/>
      <c r="Z3353" s="1060"/>
    </row>
    <row r="3354" spans="25:26">
      <c r="Y3354" s="1354"/>
      <c r="Z3354" s="1060"/>
    </row>
    <row r="3355" spans="25:26">
      <c r="Y3355" s="1354"/>
      <c r="Z3355" s="1060"/>
    </row>
    <row r="3356" spans="25:26">
      <c r="Y3356" s="1354"/>
      <c r="Z3356" s="1060"/>
    </row>
    <row r="3357" spans="25:26">
      <c r="Y3357" s="1354"/>
      <c r="Z3357" s="1060"/>
    </row>
    <row r="3358" spans="25:26">
      <c r="Y3358" s="1354"/>
      <c r="Z3358" s="1060"/>
    </row>
    <row r="3359" spans="25:26">
      <c r="Y3359" s="1354"/>
      <c r="Z3359" s="1060"/>
    </row>
    <row r="3360" spans="25:26">
      <c r="Y3360" s="1354"/>
      <c r="Z3360" s="1060"/>
    </row>
    <row r="3361" spans="25:26">
      <c r="Y3361" s="1354"/>
      <c r="Z3361" s="1060"/>
    </row>
    <row r="3362" spans="25:26">
      <c r="Y3362" s="1354"/>
      <c r="Z3362" s="1060"/>
    </row>
    <row r="3363" spans="25:26">
      <c r="Y3363" s="1354"/>
      <c r="Z3363" s="1060"/>
    </row>
    <row r="3364" spans="25:26">
      <c r="Y3364" s="1354"/>
      <c r="Z3364" s="1060"/>
    </row>
    <row r="3365" spans="25:26">
      <c r="Y3365" s="1354"/>
      <c r="Z3365" s="1060"/>
    </row>
    <row r="3366" spans="25:26">
      <c r="Y3366" s="1354"/>
      <c r="Z3366" s="1060"/>
    </row>
    <row r="3367" spans="25:26">
      <c r="Y3367" s="1354"/>
      <c r="Z3367" s="1060"/>
    </row>
    <row r="3368" spans="25:26">
      <c r="Y3368" s="1354"/>
      <c r="Z3368" s="1060"/>
    </row>
    <row r="3369" spans="25:26">
      <c r="Y3369" s="1354"/>
      <c r="Z3369" s="1060"/>
    </row>
    <row r="3370" spans="25:26">
      <c r="Y3370" s="1354"/>
      <c r="Z3370" s="1060"/>
    </row>
    <row r="3371" spans="25:26">
      <c r="Y3371" s="1354"/>
      <c r="Z3371" s="1060"/>
    </row>
    <row r="3372" spans="25:26">
      <c r="Y3372" s="1354"/>
      <c r="Z3372" s="1060"/>
    </row>
    <row r="3373" spans="25:26">
      <c r="Y3373" s="1354"/>
      <c r="Z3373" s="1060"/>
    </row>
    <row r="3374" spans="25:26">
      <c r="Y3374" s="1354"/>
      <c r="Z3374" s="1060"/>
    </row>
    <row r="3375" spans="25:26">
      <c r="Y3375" s="1354"/>
      <c r="Z3375" s="1060"/>
    </row>
    <row r="3376" spans="25:26">
      <c r="Y3376" s="1354"/>
      <c r="Z3376" s="1060"/>
    </row>
    <row r="3377" spans="25:26">
      <c r="Y3377" s="1354"/>
      <c r="Z3377" s="1060"/>
    </row>
    <row r="3378" spans="25:26">
      <c r="Y3378" s="1354"/>
      <c r="Z3378" s="1060"/>
    </row>
    <row r="3379" spans="25:26">
      <c r="Y3379" s="1354"/>
      <c r="Z3379" s="1060"/>
    </row>
    <row r="3380" spans="25:26">
      <c r="Y3380" s="1354"/>
      <c r="Z3380" s="1060"/>
    </row>
    <row r="3381" spans="25:26">
      <c r="Y3381" s="1354"/>
      <c r="Z3381" s="1060"/>
    </row>
    <row r="3382" spans="25:26">
      <c r="Y3382" s="1354"/>
      <c r="Z3382" s="1060"/>
    </row>
    <row r="3383" spans="25:26">
      <c r="Y3383" s="1354"/>
      <c r="Z3383" s="1060"/>
    </row>
    <row r="3384" spans="25:26">
      <c r="Y3384" s="1354"/>
      <c r="Z3384" s="1060"/>
    </row>
    <row r="3385" spans="25:26">
      <c r="Y3385" s="1354"/>
      <c r="Z3385" s="1060"/>
    </row>
    <row r="3386" spans="25:26">
      <c r="Y3386" s="1354"/>
      <c r="Z3386" s="1060"/>
    </row>
    <row r="3387" spans="25:26">
      <c r="Y3387" s="1354"/>
      <c r="Z3387" s="1060"/>
    </row>
    <row r="3388" spans="25:26">
      <c r="Y3388" s="1354"/>
      <c r="Z3388" s="1060"/>
    </row>
    <row r="3389" spans="25:26">
      <c r="Y3389" s="1354"/>
      <c r="Z3389" s="1060"/>
    </row>
    <row r="3390" spans="25:26">
      <c r="Y3390" s="1354"/>
      <c r="Z3390" s="1060"/>
    </row>
    <row r="3391" spans="25:26">
      <c r="Y3391" s="1354"/>
      <c r="Z3391" s="1060"/>
    </row>
    <row r="3392" spans="25:26">
      <c r="Y3392" s="1354"/>
      <c r="Z3392" s="1060"/>
    </row>
    <row r="3393" spans="25:26">
      <c r="Y3393" s="1354"/>
      <c r="Z3393" s="1060"/>
    </row>
    <row r="3394" spans="25:26">
      <c r="Y3394" s="1354"/>
      <c r="Z3394" s="1060"/>
    </row>
    <row r="3395" spans="25:26">
      <c r="Y3395" s="1354"/>
      <c r="Z3395" s="1060"/>
    </row>
    <row r="3396" spans="25:26">
      <c r="Y3396" s="1354"/>
      <c r="Z3396" s="1060"/>
    </row>
    <row r="3397" spans="25:26">
      <c r="Y3397" s="1354"/>
      <c r="Z3397" s="1060"/>
    </row>
    <row r="3398" spans="25:26">
      <c r="Y3398" s="1354"/>
      <c r="Z3398" s="1060"/>
    </row>
    <row r="3399" spans="25:26">
      <c r="Y3399" s="1354"/>
      <c r="Z3399" s="1060"/>
    </row>
    <row r="3400" spans="25:26">
      <c r="Y3400" s="1354"/>
      <c r="Z3400" s="1060"/>
    </row>
    <row r="3401" spans="25:26">
      <c r="Y3401" s="1354"/>
      <c r="Z3401" s="1060"/>
    </row>
    <row r="3402" spans="25:26">
      <c r="Y3402" s="1354"/>
      <c r="Z3402" s="1060"/>
    </row>
    <row r="3403" spans="25:26">
      <c r="Y3403" s="1354"/>
      <c r="Z3403" s="1060"/>
    </row>
    <row r="3404" spans="25:26">
      <c r="Y3404" s="1354"/>
      <c r="Z3404" s="1060"/>
    </row>
    <row r="3405" spans="25:26">
      <c r="Y3405" s="1354"/>
      <c r="Z3405" s="1060"/>
    </row>
    <row r="3406" spans="25:26">
      <c r="Y3406" s="1354"/>
      <c r="Z3406" s="1060"/>
    </row>
    <row r="3407" spans="25:26">
      <c r="Y3407" s="1354"/>
      <c r="Z3407" s="1060"/>
    </row>
    <row r="3408" spans="25:26">
      <c r="Y3408" s="1354"/>
      <c r="Z3408" s="1060"/>
    </row>
    <row r="3409" spans="25:26">
      <c r="Y3409" s="1354"/>
      <c r="Z3409" s="1060"/>
    </row>
    <row r="3410" spans="25:26">
      <c r="Y3410" s="1354"/>
      <c r="Z3410" s="1060"/>
    </row>
    <row r="3411" spans="25:26">
      <c r="Y3411" s="1354"/>
      <c r="Z3411" s="1060"/>
    </row>
    <row r="3412" spans="25:26">
      <c r="Y3412" s="1354"/>
      <c r="Z3412" s="1060"/>
    </row>
    <row r="3413" spans="25:26">
      <c r="Y3413" s="1354"/>
      <c r="Z3413" s="1060"/>
    </row>
    <row r="3414" spans="25:26">
      <c r="Y3414" s="1354"/>
      <c r="Z3414" s="1060"/>
    </row>
    <row r="3415" spans="25:26">
      <c r="Y3415" s="1354"/>
      <c r="Z3415" s="1060"/>
    </row>
    <row r="3416" spans="25:26">
      <c r="Y3416" s="1354"/>
      <c r="Z3416" s="1060"/>
    </row>
    <row r="3417" spans="25:26">
      <c r="Y3417" s="1354"/>
      <c r="Z3417" s="1060"/>
    </row>
    <row r="3418" spans="25:26">
      <c r="Y3418" s="1354"/>
      <c r="Z3418" s="1060"/>
    </row>
    <row r="3419" spans="25:26">
      <c r="Y3419" s="1354"/>
      <c r="Z3419" s="1060"/>
    </row>
    <row r="3420" spans="25:26">
      <c r="Y3420" s="1354"/>
      <c r="Z3420" s="1060"/>
    </row>
    <row r="3421" spans="25:26">
      <c r="Y3421" s="1354"/>
      <c r="Z3421" s="1060"/>
    </row>
    <row r="3422" spans="25:26">
      <c r="Y3422" s="1354"/>
      <c r="Z3422" s="1060"/>
    </row>
    <row r="3423" spans="25:26">
      <c r="Y3423" s="1354"/>
      <c r="Z3423" s="1060"/>
    </row>
    <row r="3424" spans="25:26">
      <c r="Y3424" s="1354"/>
      <c r="Z3424" s="1060"/>
    </row>
    <row r="3425" spans="25:26">
      <c r="Y3425" s="1354"/>
      <c r="Z3425" s="1060"/>
    </row>
    <row r="3426" spans="25:26">
      <c r="Y3426" s="1354"/>
      <c r="Z3426" s="1060"/>
    </row>
    <row r="3427" spans="25:26">
      <c r="Y3427" s="1354"/>
      <c r="Z3427" s="1060"/>
    </row>
    <row r="3428" spans="25:26">
      <c r="Y3428" s="1354"/>
      <c r="Z3428" s="1060"/>
    </row>
    <row r="3429" spans="25:26">
      <c r="Y3429" s="1354"/>
      <c r="Z3429" s="1060"/>
    </row>
    <row r="3430" spans="25:26">
      <c r="Y3430" s="1354"/>
      <c r="Z3430" s="1060"/>
    </row>
    <row r="3431" spans="25:26">
      <c r="Y3431" s="1354"/>
      <c r="Z3431" s="1060"/>
    </row>
    <row r="3432" spans="25:26">
      <c r="Y3432" s="1354"/>
      <c r="Z3432" s="1060"/>
    </row>
    <row r="3433" spans="25:26">
      <c r="Y3433" s="1354"/>
      <c r="Z3433" s="1060"/>
    </row>
    <row r="3434" spans="25:26">
      <c r="Y3434" s="1354"/>
      <c r="Z3434" s="1060"/>
    </row>
    <row r="3435" spans="25:26">
      <c r="Y3435" s="1354"/>
      <c r="Z3435" s="1060"/>
    </row>
    <row r="3436" spans="25:26">
      <c r="Y3436" s="1354"/>
      <c r="Z3436" s="1060"/>
    </row>
    <row r="3437" spans="25:26">
      <c r="Y3437" s="1354"/>
      <c r="Z3437" s="1060"/>
    </row>
    <row r="3438" spans="25:26">
      <c r="Y3438" s="1354"/>
      <c r="Z3438" s="1060"/>
    </row>
    <row r="3439" spans="25:26">
      <c r="Y3439" s="1354"/>
      <c r="Z3439" s="1060"/>
    </row>
    <row r="3440" spans="25:26">
      <c r="Y3440" s="1354"/>
      <c r="Z3440" s="1060"/>
    </row>
    <row r="3441" spans="25:26">
      <c r="Y3441" s="1354"/>
      <c r="Z3441" s="1060"/>
    </row>
    <row r="3442" spans="25:26">
      <c r="Y3442" s="1354"/>
      <c r="Z3442" s="1060"/>
    </row>
    <row r="3443" spans="25:26">
      <c r="Y3443" s="1354"/>
      <c r="Z3443" s="1060"/>
    </row>
    <row r="3444" spans="25:26">
      <c r="Y3444" s="1354"/>
      <c r="Z3444" s="1060"/>
    </row>
    <row r="3445" spans="25:26">
      <c r="Y3445" s="1354"/>
      <c r="Z3445" s="1060"/>
    </row>
    <row r="3446" spans="25:26">
      <c r="Y3446" s="1354"/>
      <c r="Z3446" s="1060"/>
    </row>
    <row r="3447" spans="25:26">
      <c r="Y3447" s="1354"/>
      <c r="Z3447" s="1060"/>
    </row>
    <row r="3448" spans="25:26">
      <c r="Y3448" s="1354"/>
      <c r="Z3448" s="1060"/>
    </row>
    <row r="3449" spans="25:26">
      <c r="Y3449" s="1354"/>
      <c r="Z3449" s="1060"/>
    </row>
    <row r="3450" spans="25:26">
      <c r="Y3450" s="1354"/>
      <c r="Z3450" s="1060"/>
    </row>
    <row r="3451" spans="25:26">
      <c r="Y3451" s="1354"/>
      <c r="Z3451" s="1060"/>
    </row>
    <row r="3452" spans="25:26">
      <c r="Y3452" s="1354"/>
      <c r="Z3452" s="1060"/>
    </row>
    <row r="3453" spans="25:26">
      <c r="Y3453" s="1354"/>
      <c r="Z3453" s="1060"/>
    </row>
    <row r="3454" spans="25:26">
      <c r="Y3454" s="1354"/>
      <c r="Z3454" s="1060"/>
    </row>
    <row r="3455" spans="25:26">
      <c r="Y3455" s="1354"/>
      <c r="Z3455" s="1060"/>
    </row>
    <row r="3456" spans="25:26">
      <c r="Y3456" s="1354"/>
      <c r="Z3456" s="1060"/>
    </row>
    <row r="3457" spans="25:26">
      <c r="Y3457" s="1354"/>
      <c r="Z3457" s="1060"/>
    </row>
    <row r="3458" spans="25:26">
      <c r="Y3458" s="1354"/>
      <c r="Z3458" s="1060"/>
    </row>
    <row r="3459" spans="25:26">
      <c r="Y3459" s="1354"/>
      <c r="Z3459" s="1060"/>
    </row>
    <row r="3460" spans="25:26">
      <c r="Y3460" s="1354"/>
      <c r="Z3460" s="1060"/>
    </row>
    <row r="3461" spans="25:26">
      <c r="Y3461" s="1354"/>
      <c r="Z3461" s="1060"/>
    </row>
    <row r="3462" spans="25:26">
      <c r="Y3462" s="1354"/>
      <c r="Z3462" s="1060"/>
    </row>
    <row r="3463" spans="25:26">
      <c r="Y3463" s="1354"/>
      <c r="Z3463" s="1060"/>
    </row>
    <row r="3464" spans="25:26">
      <c r="Y3464" s="1354"/>
      <c r="Z3464" s="1060"/>
    </row>
    <row r="3465" spans="25:26">
      <c r="Y3465" s="1354"/>
      <c r="Z3465" s="1060"/>
    </row>
    <row r="3466" spans="25:26">
      <c r="Y3466" s="1354"/>
      <c r="Z3466" s="1060"/>
    </row>
    <row r="3467" spans="25:26">
      <c r="Y3467" s="1354"/>
      <c r="Z3467" s="1060"/>
    </row>
    <row r="3468" spans="25:26">
      <c r="Y3468" s="1354"/>
      <c r="Z3468" s="1060"/>
    </row>
    <row r="3469" spans="25:26">
      <c r="Y3469" s="1354"/>
      <c r="Z3469" s="1060"/>
    </row>
    <row r="3470" spans="25:26">
      <c r="Y3470" s="1354"/>
      <c r="Z3470" s="1060"/>
    </row>
    <row r="3471" spans="25:26">
      <c r="Y3471" s="1354"/>
      <c r="Z3471" s="1060"/>
    </row>
    <row r="3472" spans="25:26">
      <c r="Y3472" s="1354"/>
      <c r="Z3472" s="1060"/>
    </row>
    <row r="3473" spans="25:26">
      <c r="Y3473" s="1354"/>
      <c r="Z3473" s="1060"/>
    </row>
    <row r="3474" spans="25:26">
      <c r="Y3474" s="1354"/>
      <c r="Z3474" s="1060"/>
    </row>
    <row r="3475" spans="25:26">
      <c r="Y3475" s="1354"/>
      <c r="Z3475" s="1060"/>
    </row>
    <row r="3476" spans="25:26">
      <c r="Y3476" s="1354"/>
      <c r="Z3476" s="1060"/>
    </row>
    <row r="3477" spans="25:26">
      <c r="Y3477" s="1354"/>
      <c r="Z3477" s="1060"/>
    </row>
    <row r="3478" spans="25:26">
      <c r="Y3478" s="1354"/>
      <c r="Z3478" s="1060"/>
    </row>
    <row r="3479" spans="25:26">
      <c r="Y3479" s="1354"/>
      <c r="Z3479" s="1060"/>
    </row>
    <row r="3480" spans="25:26">
      <c r="Y3480" s="1354"/>
      <c r="Z3480" s="1060"/>
    </row>
    <row r="3481" spans="25:26">
      <c r="Y3481" s="1354"/>
      <c r="Z3481" s="1060"/>
    </row>
    <row r="3482" spans="25:26">
      <c r="Y3482" s="1354"/>
      <c r="Z3482" s="1060"/>
    </row>
    <row r="3483" spans="25:26">
      <c r="Y3483" s="1354"/>
      <c r="Z3483" s="1060"/>
    </row>
    <row r="3484" spans="25:26">
      <c r="Y3484" s="1354"/>
      <c r="Z3484" s="1060"/>
    </row>
    <row r="3485" spans="25:26">
      <c r="Y3485" s="1354"/>
      <c r="Z3485" s="1060"/>
    </row>
    <row r="3486" spans="25:26">
      <c r="Y3486" s="1354"/>
      <c r="Z3486" s="1060"/>
    </row>
    <row r="3487" spans="25:26">
      <c r="Y3487" s="1354"/>
      <c r="Z3487" s="1060"/>
    </row>
    <row r="3488" spans="25:26">
      <c r="Y3488" s="1354"/>
      <c r="Z3488" s="1060"/>
    </row>
    <row r="3489" spans="25:26">
      <c r="Y3489" s="1354"/>
      <c r="Z3489" s="1060"/>
    </row>
    <row r="3490" spans="25:26">
      <c r="Y3490" s="1354"/>
      <c r="Z3490" s="1060"/>
    </row>
    <row r="3491" spans="25:26">
      <c r="Y3491" s="1354"/>
      <c r="Z3491" s="1060"/>
    </row>
    <row r="3492" spans="25:26">
      <c r="Y3492" s="1354"/>
      <c r="Z3492" s="1060"/>
    </row>
    <row r="3493" spans="25:26">
      <c r="Y3493" s="1354"/>
      <c r="Z3493" s="1060"/>
    </row>
    <row r="3494" spans="25:26">
      <c r="Y3494" s="1354"/>
      <c r="Z3494" s="1060"/>
    </row>
    <row r="3495" spans="25:26">
      <c r="Y3495" s="1354"/>
      <c r="Z3495" s="1060"/>
    </row>
    <row r="3496" spans="25:26">
      <c r="Y3496" s="1354"/>
      <c r="Z3496" s="1060"/>
    </row>
    <row r="3497" spans="25:26">
      <c r="Y3497" s="1354"/>
      <c r="Z3497" s="1060"/>
    </row>
    <row r="3498" spans="25:26">
      <c r="Y3498" s="1354"/>
      <c r="Z3498" s="1060"/>
    </row>
    <row r="3499" spans="25:26">
      <c r="Y3499" s="1354"/>
      <c r="Z3499" s="1060"/>
    </row>
    <row r="3500" spans="25:26">
      <c r="Y3500" s="1354"/>
      <c r="Z3500" s="1060"/>
    </row>
    <row r="3501" spans="25:26">
      <c r="Y3501" s="1354"/>
      <c r="Z3501" s="1060"/>
    </row>
    <row r="3502" spans="25:26">
      <c r="Y3502" s="1354"/>
      <c r="Z3502" s="1060"/>
    </row>
    <row r="3503" spans="25:26">
      <c r="Y3503" s="1354"/>
      <c r="Z3503" s="1060"/>
    </row>
    <row r="3504" spans="25:26">
      <c r="Y3504" s="1354"/>
      <c r="Z3504" s="1060"/>
    </row>
    <row r="3505" spans="25:26">
      <c r="Y3505" s="1354"/>
      <c r="Z3505" s="1060"/>
    </row>
    <row r="3506" spans="25:26">
      <c r="Y3506" s="1354"/>
      <c r="Z3506" s="1060"/>
    </row>
    <row r="3507" spans="25:26">
      <c r="Y3507" s="1354"/>
      <c r="Z3507" s="1060"/>
    </row>
    <row r="3508" spans="25:26">
      <c r="Y3508" s="1354"/>
      <c r="Z3508" s="1060"/>
    </row>
    <row r="3509" spans="25:26">
      <c r="Y3509" s="1354"/>
      <c r="Z3509" s="1060"/>
    </row>
    <row r="3510" spans="25:26">
      <c r="Y3510" s="1354"/>
      <c r="Z3510" s="1060"/>
    </row>
    <row r="3511" spans="25:26">
      <c r="Y3511" s="1354"/>
      <c r="Z3511" s="1060"/>
    </row>
    <row r="3512" spans="25:26">
      <c r="Y3512" s="1354"/>
      <c r="Z3512" s="1060"/>
    </row>
    <row r="3513" spans="25:26">
      <c r="Y3513" s="1354"/>
      <c r="Z3513" s="1060"/>
    </row>
    <row r="3514" spans="25:26">
      <c r="Y3514" s="1354"/>
      <c r="Z3514" s="1060"/>
    </row>
    <row r="3515" spans="25:26">
      <c r="Y3515" s="1354"/>
      <c r="Z3515" s="1060"/>
    </row>
    <row r="3516" spans="25:26">
      <c r="Y3516" s="1354"/>
      <c r="Z3516" s="1060"/>
    </row>
    <row r="3517" spans="25:26">
      <c r="Y3517" s="1354"/>
      <c r="Z3517" s="1060"/>
    </row>
    <row r="3518" spans="25:26">
      <c r="Y3518" s="1354"/>
      <c r="Z3518" s="1060"/>
    </row>
    <row r="3519" spans="25:26">
      <c r="Y3519" s="1354"/>
      <c r="Z3519" s="1060"/>
    </row>
    <row r="3520" spans="25:26">
      <c r="Y3520" s="1354"/>
      <c r="Z3520" s="1060"/>
    </row>
    <row r="3521" spans="25:26">
      <c r="Y3521" s="1354"/>
      <c r="Z3521" s="1060"/>
    </row>
    <row r="3522" spans="25:26">
      <c r="Y3522" s="1354"/>
      <c r="Z3522" s="1060"/>
    </row>
    <row r="3523" spans="25:26">
      <c r="Y3523" s="1354"/>
      <c r="Z3523" s="1060"/>
    </row>
    <row r="3524" spans="25:26">
      <c r="Y3524" s="1354"/>
      <c r="Z3524" s="1060"/>
    </row>
    <row r="3525" spans="25:26">
      <c r="Y3525" s="1354"/>
      <c r="Z3525" s="1060"/>
    </row>
    <row r="3526" spans="25:26">
      <c r="Y3526" s="1354"/>
      <c r="Z3526" s="1060"/>
    </row>
    <row r="3527" spans="25:26">
      <c r="Y3527" s="1354"/>
      <c r="Z3527" s="1060"/>
    </row>
    <row r="3528" spans="25:26">
      <c r="Y3528" s="1354"/>
      <c r="Z3528" s="1060"/>
    </row>
    <row r="3529" spans="25:26">
      <c r="Y3529" s="1354"/>
      <c r="Z3529" s="1060"/>
    </row>
    <row r="3530" spans="25:26">
      <c r="Y3530" s="1354"/>
      <c r="Z3530" s="1060"/>
    </row>
    <row r="3531" spans="25:26">
      <c r="Y3531" s="1354"/>
      <c r="Z3531" s="1060"/>
    </row>
    <row r="3532" spans="25:26">
      <c r="Y3532" s="1354"/>
      <c r="Z3532" s="1060"/>
    </row>
    <row r="3533" spans="25:26">
      <c r="Y3533" s="1354"/>
      <c r="Z3533" s="1060"/>
    </row>
    <row r="3534" spans="25:26">
      <c r="Y3534" s="1354"/>
      <c r="Z3534" s="1060"/>
    </row>
    <row r="3535" spans="25:26">
      <c r="Y3535" s="1354"/>
      <c r="Z3535" s="1060"/>
    </row>
    <row r="3536" spans="25:26">
      <c r="Y3536" s="1354"/>
      <c r="Z3536" s="1060"/>
    </row>
    <row r="3537" spans="25:26">
      <c r="Y3537" s="1354"/>
      <c r="Z3537" s="1060"/>
    </row>
    <row r="3538" spans="25:26">
      <c r="Y3538" s="1354"/>
      <c r="Z3538" s="1060"/>
    </row>
    <row r="3539" spans="25:26">
      <c r="Y3539" s="1354"/>
      <c r="Z3539" s="1060"/>
    </row>
    <row r="3540" spans="25:26">
      <c r="Y3540" s="1354"/>
      <c r="Z3540" s="1060"/>
    </row>
    <row r="3541" spans="25:26">
      <c r="Y3541" s="1354"/>
      <c r="Z3541" s="1060"/>
    </row>
    <row r="3542" spans="25:26">
      <c r="Y3542" s="1354"/>
      <c r="Z3542" s="1060"/>
    </row>
    <row r="3543" spans="25:26">
      <c r="Y3543" s="1354"/>
      <c r="Z3543" s="1060"/>
    </row>
    <row r="3544" spans="25:26">
      <c r="Y3544" s="1354"/>
      <c r="Z3544" s="1060"/>
    </row>
    <row r="3545" spans="25:26">
      <c r="Y3545" s="1354"/>
      <c r="Z3545" s="1060"/>
    </row>
    <row r="3546" spans="25:26">
      <c r="Y3546" s="1354"/>
      <c r="Z3546" s="1060"/>
    </row>
    <row r="3547" spans="25:26">
      <c r="Y3547" s="1354"/>
      <c r="Z3547" s="1060"/>
    </row>
    <row r="3548" spans="25:26">
      <c r="Y3548" s="1354"/>
      <c r="Z3548" s="1060"/>
    </row>
    <row r="3549" spans="25:26">
      <c r="Y3549" s="1354"/>
      <c r="Z3549" s="1060"/>
    </row>
    <row r="3550" spans="25:26">
      <c r="Y3550" s="1354"/>
      <c r="Z3550" s="1060"/>
    </row>
    <row r="3551" spans="25:26">
      <c r="Y3551" s="1354"/>
      <c r="Z3551" s="1060"/>
    </row>
    <row r="3552" spans="25:26">
      <c r="Y3552" s="1354"/>
      <c r="Z3552" s="1060"/>
    </row>
    <row r="3553" spans="25:26">
      <c r="Y3553" s="1354"/>
      <c r="Z3553" s="1060"/>
    </row>
    <row r="3554" spans="25:26">
      <c r="Y3554" s="1354"/>
      <c r="Z3554" s="1060"/>
    </row>
    <row r="3555" spans="25:26">
      <c r="Y3555" s="1354"/>
      <c r="Z3555" s="1060"/>
    </row>
    <row r="3556" spans="25:26">
      <c r="Y3556" s="1354"/>
      <c r="Z3556" s="1060"/>
    </row>
    <row r="3557" spans="25:26">
      <c r="Y3557" s="1354"/>
      <c r="Z3557" s="1060"/>
    </row>
    <row r="3558" spans="25:26">
      <c r="Y3558" s="1354"/>
      <c r="Z3558" s="1060"/>
    </row>
    <row r="3559" spans="25:26">
      <c r="Y3559" s="1354"/>
      <c r="Z3559" s="1060"/>
    </row>
    <row r="3560" spans="25:26">
      <c r="Y3560" s="1354"/>
      <c r="Z3560" s="1060"/>
    </row>
    <row r="3561" spans="25:26">
      <c r="Y3561" s="1354"/>
      <c r="Z3561" s="1060"/>
    </row>
    <row r="3562" spans="25:26">
      <c r="Y3562" s="1354"/>
      <c r="Z3562" s="1060"/>
    </row>
    <row r="3563" spans="25:26">
      <c r="Y3563" s="1354"/>
      <c r="Z3563" s="1060"/>
    </row>
    <row r="3564" spans="25:26">
      <c r="Y3564" s="1354"/>
      <c r="Z3564" s="1060"/>
    </row>
    <row r="3565" spans="25:26">
      <c r="Y3565" s="1354"/>
      <c r="Z3565" s="1060"/>
    </row>
    <row r="3566" spans="25:26">
      <c r="Y3566" s="1354"/>
      <c r="Z3566" s="1060"/>
    </row>
    <row r="3567" spans="25:26">
      <c r="Y3567" s="1354"/>
      <c r="Z3567" s="1060"/>
    </row>
    <row r="3568" spans="25:26">
      <c r="Y3568" s="1354"/>
      <c r="Z3568" s="1060"/>
    </row>
    <row r="3569" spans="25:26">
      <c r="Y3569" s="1354"/>
      <c r="Z3569" s="1060"/>
    </row>
    <row r="3570" spans="25:26">
      <c r="Y3570" s="1354"/>
      <c r="Z3570" s="1060"/>
    </row>
    <row r="3571" spans="25:26">
      <c r="Y3571" s="1354"/>
      <c r="Z3571" s="1060"/>
    </row>
    <row r="3572" spans="25:26">
      <c r="Y3572" s="1354"/>
      <c r="Z3572" s="1060"/>
    </row>
    <row r="3573" spans="25:26">
      <c r="Y3573" s="1354"/>
      <c r="Z3573" s="1060"/>
    </row>
    <row r="3574" spans="25:26">
      <c r="Y3574" s="1354"/>
      <c r="Z3574" s="1060"/>
    </row>
    <row r="3575" spans="25:26">
      <c r="Y3575" s="1354"/>
      <c r="Z3575" s="1060"/>
    </row>
    <row r="3576" spans="25:26">
      <c r="Y3576" s="1354"/>
      <c r="Z3576" s="1060"/>
    </row>
    <row r="3577" spans="25:26">
      <c r="Y3577" s="1354"/>
      <c r="Z3577" s="1060"/>
    </row>
    <row r="3578" spans="25:26">
      <c r="Y3578" s="1354"/>
      <c r="Z3578" s="1060"/>
    </row>
    <row r="3579" spans="25:26">
      <c r="Y3579" s="1354"/>
      <c r="Z3579" s="1060"/>
    </row>
    <row r="3580" spans="25:26">
      <c r="Y3580" s="1354"/>
      <c r="Z3580" s="1060"/>
    </row>
    <row r="3581" spans="25:26">
      <c r="Y3581" s="1354"/>
      <c r="Z3581" s="1060"/>
    </row>
    <row r="3582" spans="25:26">
      <c r="Y3582" s="1354"/>
      <c r="Z3582" s="1060"/>
    </row>
    <row r="3583" spans="25:26">
      <c r="Y3583" s="1354"/>
      <c r="Z3583" s="1060"/>
    </row>
    <row r="3584" spans="25:26">
      <c r="Y3584" s="1354"/>
      <c r="Z3584" s="1060"/>
    </row>
    <row r="3585" spans="25:26">
      <c r="Y3585" s="1354"/>
      <c r="Z3585" s="1060"/>
    </row>
    <row r="3586" spans="25:26">
      <c r="Y3586" s="1354"/>
      <c r="Z3586" s="1060"/>
    </row>
    <row r="3587" spans="25:26">
      <c r="Y3587" s="1354"/>
      <c r="Z3587" s="1060"/>
    </row>
    <row r="3588" spans="25:26">
      <c r="Y3588" s="1354"/>
      <c r="Z3588" s="1060"/>
    </row>
    <row r="3589" spans="25:26">
      <c r="Y3589" s="1354"/>
      <c r="Z3589" s="1060"/>
    </row>
    <row r="3590" spans="25:26">
      <c r="Y3590" s="1354"/>
      <c r="Z3590" s="1060"/>
    </row>
    <row r="3591" spans="25:26">
      <c r="Y3591" s="1354"/>
      <c r="Z3591" s="1060"/>
    </row>
    <row r="3592" spans="25:26">
      <c r="Y3592" s="1354"/>
      <c r="Z3592" s="1060"/>
    </row>
    <row r="3593" spans="25:26">
      <c r="Y3593" s="1354"/>
      <c r="Z3593" s="1060"/>
    </row>
    <row r="3594" spans="25:26">
      <c r="Y3594" s="1354"/>
      <c r="Z3594" s="1060"/>
    </row>
    <row r="3595" spans="25:26">
      <c r="Y3595" s="1354"/>
      <c r="Z3595" s="1060"/>
    </row>
    <row r="3596" spans="25:26">
      <c r="Y3596" s="1354"/>
      <c r="Z3596" s="1060"/>
    </row>
    <row r="3597" spans="25:26">
      <c r="Y3597" s="1354"/>
      <c r="Z3597" s="1060"/>
    </row>
    <row r="3598" spans="25:26">
      <c r="Y3598" s="1354"/>
      <c r="Z3598" s="1060"/>
    </row>
    <row r="3599" spans="25:26">
      <c r="Y3599" s="1354"/>
      <c r="Z3599" s="1060"/>
    </row>
    <row r="3600" spans="25:26">
      <c r="Y3600" s="1354"/>
      <c r="Z3600" s="1060"/>
    </row>
    <row r="3601" spans="25:26">
      <c r="Y3601" s="1354"/>
      <c r="Z3601" s="1060"/>
    </row>
    <row r="3602" spans="25:26">
      <c r="Y3602" s="1354"/>
      <c r="Z3602" s="1060"/>
    </row>
    <row r="3603" spans="25:26">
      <c r="Y3603" s="1354"/>
      <c r="Z3603" s="1060"/>
    </row>
    <row r="3604" spans="25:26">
      <c r="Y3604" s="1354"/>
      <c r="Z3604" s="1060"/>
    </row>
    <row r="3605" spans="25:26">
      <c r="Y3605" s="1354"/>
      <c r="Z3605" s="1060"/>
    </row>
    <row r="3606" spans="25:26">
      <c r="Y3606" s="1354"/>
      <c r="Z3606" s="1060"/>
    </row>
    <row r="3607" spans="25:26">
      <c r="Y3607" s="1354"/>
      <c r="Z3607" s="1060"/>
    </row>
    <row r="3608" spans="25:26">
      <c r="Y3608" s="1354"/>
      <c r="Z3608" s="1060"/>
    </row>
    <row r="3609" spans="25:26">
      <c r="Y3609" s="1354"/>
      <c r="Z3609" s="1060"/>
    </row>
    <row r="3610" spans="25:26">
      <c r="Y3610" s="1354"/>
      <c r="Z3610" s="1060"/>
    </row>
    <row r="3611" spans="25:26">
      <c r="Y3611" s="1354"/>
      <c r="Z3611" s="1060"/>
    </row>
    <row r="3612" spans="25:26">
      <c r="Y3612" s="1354"/>
      <c r="Z3612" s="1060"/>
    </row>
    <row r="3613" spans="25:26">
      <c r="Y3613" s="1354"/>
      <c r="Z3613" s="1060"/>
    </row>
    <row r="3614" spans="25:26">
      <c r="Y3614" s="1354"/>
      <c r="Z3614" s="1060"/>
    </row>
    <row r="3615" spans="25:26">
      <c r="Y3615" s="1354"/>
      <c r="Z3615" s="1060"/>
    </row>
    <row r="3616" spans="25:26">
      <c r="Y3616" s="1354"/>
      <c r="Z3616" s="1060"/>
    </row>
    <row r="3617" spans="25:26">
      <c r="Y3617" s="1354"/>
      <c r="Z3617" s="1060"/>
    </row>
    <row r="3618" spans="25:26">
      <c r="Y3618" s="1354"/>
      <c r="Z3618" s="1060"/>
    </row>
    <row r="3619" spans="25:26">
      <c r="Y3619" s="1354"/>
      <c r="Z3619" s="1060"/>
    </row>
    <row r="3620" spans="25:26">
      <c r="Y3620" s="1354"/>
      <c r="Z3620" s="1060"/>
    </row>
    <row r="3621" spans="25:26">
      <c r="Y3621" s="1354"/>
      <c r="Z3621" s="1060"/>
    </row>
    <row r="3622" spans="25:26">
      <c r="Y3622" s="1354"/>
      <c r="Z3622" s="1060"/>
    </row>
    <row r="3623" spans="25:26">
      <c r="Y3623" s="1354"/>
      <c r="Z3623" s="1060"/>
    </row>
    <row r="3624" spans="25:26">
      <c r="Y3624" s="1354"/>
      <c r="Z3624" s="1060"/>
    </row>
    <row r="3625" spans="25:26">
      <c r="Y3625" s="1354"/>
      <c r="Z3625" s="1060"/>
    </row>
    <row r="3626" spans="25:26">
      <c r="Y3626" s="1354"/>
      <c r="Z3626" s="1060"/>
    </row>
    <row r="3627" spans="25:26">
      <c r="Y3627" s="1354"/>
      <c r="Z3627" s="1060"/>
    </row>
    <row r="3628" spans="25:26">
      <c r="Y3628" s="1354"/>
      <c r="Z3628" s="1060"/>
    </row>
    <row r="3629" spans="25:26">
      <c r="Y3629" s="1354"/>
      <c r="Z3629" s="1060"/>
    </row>
    <row r="3630" spans="25:26">
      <c r="Y3630" s="1354"/>
      <c r="Z3630" s="1060"/>
    </row>
    <row r="3631" spans="25:26">
      <c r="Y3631" s="1354"/>
      <c r="Z3631" s="1060"/>
    </row>
    <row r="3632" spans="25:26">
      <c r="Y3632" s="1354"/>
      <c r="Z3632" s="1060"/>
    </row>
    <row r="3633" spans="25:26">
      <c r="Y3633" s="1354"/>
      <c r="Z3633" s="1060"/>
    </row>
    <row r="3634" spans="25:26">
      <c r="Y3634" s="1354"/>
      <c r="Z3634" s="1060"/>
    </row>
    <row r="3635" spans="25:26">
      <c r="Y3635" s="1354"/>
      <c r="Z3635" s="1060"/>
    </row>
    <row r="3636" spans="25:26">
      <c r="Y3636" s="1354"/>
      <c r="Z3636" s="1060"/>
    </row>
    <row r="3637" spans="25:26">
      <c r="Y3637" s="1354"/>
      <c r="Z3637" s="1060"/>
    </row>
    <row r="3638" spans="25:26">
      <c r="Y3638" s="1354"/>
      <c r="Z3638" s="1060"/>
    </row>
    <row r="3639" spans="25:26">
      <c r="Y3639" s="1354"/>
      <c r="Z3639" s="1060"/>
    </row>
    <row r="3640" spans="25:26">
      <c r="Y3640" s="1354"/>
      <c r="Z3640" s="1060"/>
    </row>
    <row r="3641" spans="25:26">
      <c r="Y3641" s="1354"/>
      <c r="Z3641" s="1060"/>
    </row>
    <row r="3642" spans="25:26">
      <c r="Y3642" s="1354"/>
      <c r="Z3642" s="1060"/>
    </row>
    <row r="3643" spans="25:26">
      <c r="Y3643" s="1354"/>
      <c r="Z3643" s="1060"/>
    </row>
    <row r="3644" spans="25:26">
      <c r="Y3644" s="1354"/>
      <c r="Z3644" s="1060"/>
    </row>
    <row r="3645" spans="25:26">
      <c r="Y3645" s="1354"/>
      <c r="Z3645" s="1060"/>
    </row>
    <row r="3646" spans="25:26">
      <c r="Y3646" s="1354"/>
      <c r="Z3646" s="1060"/>
    </row>
    <row r="3647" spans="25:26">
      <c r="Y3647" s="1354"/>
      <c r="Z3647" s="1060"/>
    </row>
    <row r="3648" spans="25:26">
      <c r="Y3648" s="1354"/>
      <c r="Z3648" s="1060"/>
    </row>
    <row r="3649" spans="25:26">
      <c r="Y3649" s="1354"/>
      <c r="Z3649" s="1060"/>
    </row>
    <row r="3650" spans="25:26">
      <c r="Y3650" s="1354"/>
      <c r="Z3650" s="1060"/>
    </row>
    <row r="3651" spans="25:26">
      <c r="Y3651" s="1354"/>
      <c r="Z3651" s="1060"/>
    </row>
    <row r="3652" spans="25:26">
      <c r="Y3652" s="1354"/>
      <c r="Z3652" s="1060"/>
    </row>
    <row r="3653" spans="25:26">
      <c r="Y3653" s="1354"/>
      <c r="Z3653" s="1060"/>
    </row>
    <row r="3654" spans="25:26">
      <c r="Y3654" s="1354"/>
      <c r="Z3654" s="1060"/>
    </row>
    <row r="3655" spans="25:26">
      <c r="Y3655" s="1354"/>
      <c r="Z3655" s="1060"/>
    </row>
    <row r="3656" spans="25:26">
      <c r="Y3656" s="1354"/>
      <c r="Z3656" s="1060"/>
    </row>
    <row r="3657" spans="25:26">
      <c r="Y3657" s="1354"/>
      <c r="Z3657" s="1060"/>
    </row>
    <row r="3658" spans="25:26">
      <c r="Y3658" s="1354"/>
      <c r="Z3658" s="1060"/>
    </row>
    <row r="3659" spans="25:26">
      <c r="Y3659" s="1354"/>
      <c r="Z3659" s="1060"/>
    </row>
    <row r="3660" spans="25:26">
      <c r="Y3660" s="1354"/>
      <c r="Z3660" s="1060"/>
    </row>
    <row r="3661" spans="25:26">
      <c r="Y3661" s="1354"/>
      <c r="Z3661" s="1060"/>
    </row>
    <row r="3662" spans="25:26">
      <c r="Y3662" s="1354"/>
      <c r="Z3662" s="1060"/>
    </row>
    <row r="3663" spans="25:26">
      <c r="Y3663" s="1354"/>
      <c r="Z3663" s="1060"/>
    </row>
    <row r="3664" spans="25:26">
      <c r="Y3664" s="1354"/>
      <c r="Z3664" s="1060"/>
    </row>
    <row r="3665" spans="25:26">
      <c r="Y3665" s="1354"/>
      <c r="Z3665" s="1060"/>
    </row>
    <row r="3666" spans="25:26">
      <c r="Y3666" s="1354"/>
      <c r="Z3666" s="1060"/>
    </row>
    <row r="3667" spans="25:26">
      <c r="Y3667" s="1354"/>
      <c r="Z3667" s="1060"/>
    </row>
    <row r="3668" spans="25:26">
      <c r="Y3668" s="1354"/>
      <c r="Z3668" s="1060"/>
    </row>
    <row r="3669" spans="25:26">
      <c r="Y3669" s="1354"/>
      <c r="Z3669" s="1060"/>
    </row>
    <row r="3670" spans="25:26">
      <c r="Y3670" s="1354"/>
      <c r="Z3670" s="1060"/>
    </row>
    <row r="3671" spans="25:26">
      <c r="Y3671" s="1354"/>
      <c r="Z3671" s="1060"/>
    </row>
    <row r="3672" spans="25:26">
      <c r="Y3672" s="1354"/>
      <c r="Z3672" s="1060"/>
    </row>
    <row r="3673" spans="25:26">
      <c r="Y3673" s="1354"/>
      <c r="Z3673" s="1060"/>
    </row>
    <row r="3674" spans="25:26">
      <c r="Y3674" s="1354"/>
      <c r="Z3674" s="1060"/>
    </row>
    <row r="3675" spans="25:26">
      <c r="Y3675" s="1354"/>
      <c r="Z3675" s="1060"/>
    </row>
    <row r="3676" spans="25:26">
      <c r="Y3676" s="1354"/>
      <c r="Z3676" s="1060"/>
    </row>
    <row r="3677" spans="25:26">
      <c r="Y3677" s="1354"/>
      <c r="Z3677" s="1060"/>
    </row>
    <row r="3678" spans="25:26">
      <c r="Y3678" s="1354"/>
      <c r="Z3678" s="1060"/>
    </row>
    <row r="3679" spans="25:26">
      <c r="Y3679" s="1354"/>
      <c r="Z3679" s="1060"/>
    </row>
    <row r="3680" spans="25:26">
      <c r="Y3680" s="1354"/>
      <c r="Z3680" s="1060"/>
    </row>
    <row r="3681" spans="25:26">
      <c r="Y3681" s="1354"/>
      <c r="Z3681" s="1060"/>
    </row>
    <row r="3682" spans="25:26">
      <c r="Y3682" s="1354"/>
      <c r="Z3682" s="1060"/>
    </row>
    <row r="3683" spans="25:26">
      <c r="Y3683" s="1354"/>
      <c r="Z3683" s="1060"/>
    </row>
    <row r="3684" spans="25:26">
      <c r="Y3684" s="1354"/>
      <c r="Z3684" s="1060"/>
    </row>
    <row r="3685" spans="25:26">
      <c r="Y3685" s="1354"/>
      <c r="Z3685" s="1060"/>
    </row>
    <row r="3686" spans="25:26">
      <c r="Y3686" s="1354"/>
      <c r="Z3686" s="1060"/>
    </row>
    <row r="3687" spans="25:26">
      <c r="Y3687" s="1354"/>
      <c r="Z3687" s="1060"/>
    </row>
    <row r="3688" spans="25:26">
      <c r="Y3688" s="1354"/>
      <c r="Z3688" s="1060"/>
    </row>
    <row r="3689" spans="25:26">
      <c r="Y3689" s="1354"/>
      <c r="Z3689" s="1060"/>
    </row>
    <row r="3690" spans="25:26">
      <c r="Y3690" s="1354"/>
      <c r="Z3690" s="1060"/>
    </row>
    <row r="3691" spans="25:26">
      <c r="Y3691" s="1354"/>
      <c r="Z3691" s="1060"/>
    </row>
    <row r="3692" spans="25:26">
      <c r="Y3692" s="1354"/>
      <c r="Z3692" s="1060"/>
    </row>
    <row r="3693" spans="25:26">
      <c r="Y3693" s="1354"/>
      <c r="Z3693" s="1060"/>
    </row>
    <row r="3694" spans="25:26">
      <c r="Y3694" s="1354"/>
      <c r="Z3694" s="1060"/>
    </row>
    <row r="3695" spans="25:26">
      <c r="Y3695" s="1354"/>
      <c r="Z3695" s="1060"/>
    </row>
    <row r="3696" spans="25:26">
      <c r="Y3696" s="1354"/>
      <c r="Z3696" s="1060"/>
    </row>
    <row r="3697" spans="25:26">
      <c r="Y3697" s="1354"/>
      <c r="Z3697" s="1060"/>
    </row>
    <row r="3698" spans="25:26">
      <c r="Y3698" s="1354"/>
      <c r="Z3698" s="1060"/>
    </row>
    <row r="3699" spans="25:26">
      <c r="Y3699" s="1354"/>
      <c r="Z3699" s="1060"/>
    </row>
    <row r="3700" spans="25:26">
      <c r="Y3700" s="1354"/>
      <c r="Z3700" s="1060"/>
    </row>
    <row r="3701" spans="25:26">
      <c r="Y3701" s="1354"/>
      <c r="Z3701" s="1060"/>
    </row>
    <row r="3702" spans="25:26">
      <c r="Y3702" s="1354"/>
      <c r="Z3702" s="1060"/>
    </row>
    <row r="3703" spans="25:26">
      <c r="Y3703" s="1354"/>
      <c r="Z3703" s="1060"/>
    </row>
    <row r="3704" spans="25:26">
      <c r="Y3704" s="1354"/>
      <c r="Z3704" s="1060"/>
    </row>
    <row r="3705" spans="25:26">
      <c r="Y3705" s="1354"/>
      <c r="Z3705" s="1060"/>
    </row>
    <row r="3706" spans="25:26">
      <c r="Y3706" s="1354"/>
      <c r="Z3706" s="1060"/>
    </row>
    <row r="3707" spans="25:26">
      <c r="Y3707" s="1354"/>
      <c r="Z3707" s="1060"/>
    </row>
    <row r="3708" spans="25:26">
      <c r="Y3708" s="1354"/>
      <c r="Z3708" s="1060"/>
    </row>
    <row r="3709" spans="25:26">
      <c r="Y3709" s="1354"/>
      <c r="Z3709" s="1060"/>
    </row>
    <row r="3710" spans="25:26">
      <c r="Y3710" s="1354"/>
      <c r="Z3710" s="1060"/>
    </row>
    <row r="3711" spans="25:26">
      <c r="Y3711" s="1354"/>
      <c r="Z3711" s="1060"/>
    </row>
    <row r="3712" spans="25:26">
      <c r="Y3712" s="1354"/>
      <c r="Z3712" s="1060"/>
    </row>
    <row r="3713" spans="25:26">
      <c r="Y3713" s="1354"/>
      <c r="Z3713" s="1060"/>
    </row>
    <row r="3714" spans="25:26">
      <c r="Y3714" s="1354"/>
      <c r="Z3714" s="1060"/>
    </row>
    <row r="3715" spans="25:26">
      <c r="Y3715" s="1354"/>
      <c r="Z3715" s="1060"/>
    </row>
    <row r="3716" spans="25:26">
      <c r="Y3716" s="1354"/>
      <c r="Z3716" s="1060"/>
    </row>
    <row r="3717" spans="25:26">
      <c r="Y3717" s="1354"/>
      <c r="Z3717" s="1060"/>
    </row>
    <row r="3718" spans="25:26">
      <c r="Y3718" s="1354"/>
      <c r="Z3718" s="1060"/>
    </row>
    <row r="3719" spans="25:26">
      <c r="Y3719" s="1354"/>
      <c r="Z3719" s="1060"/>
    </row>
    <row r="3720" spans="25:26">
      <c r="Y3720" s="1354"/>
      <c r="Z3720" s="1060"/>
    </row>
    <row r="3721" spans="25:26">
      <c r="Y3721" s="1354"/>
      <c r="Z3721" s="1060"/>
    </row>
    <row r="3722" spans="25:26">
      <c r="Y3722" s="1354"/>
      <c r="Z3722" s="1060"/>
    </row>
    <row r="3723" spans="25:26">
      <c r="Y3723" s="1354"/>
      <c r="Z3723" s="1060"/>
    </row>
    <row r="3724" spans="25:26">
      <c r="Y3724" s="1354"/>
      <c r="Z3724" s="1060"/>
    </row>
    <row r="3725" spans="25:26">
      <c r="Y3725" s="1354"/>
      <c r="Z3725" s="1060"/>
    </row>
    <row r="3726" spans="25:26">
      <c r="Y3726" s="1354"/>
      <c r="Z3726" s="1060"/>
    </row>
    <row r="3727" spans="25:26">
      <c r="Y3727" s="1354"/>
      <c r="Z3727" s="1060"/>
    </row>
    <row r="3728" spans="25:26">
      <c r="Y3728" s="1354"/>
      <c r="Z3728" s="1060"/>
    </row>
    <row r="3729" spans="25:26">
      <c r="Y3729" s="1354"/>
      <c r="Z3729" s="1060"/>
    </row>
    <row r="3730" spans="25:26">
      <c r="Y3730" s="1354"/>
      <c r="Z3730" s="1060"/>
    </row>
    <row r="3731" spans="25:26">
      <c r="Y3731" s="1354"/>
      <c r="Z3731" s="1060"/>
    </row>
    <row r="3732" spans="25:26">
      <c r="Y3732" s="1354"/>
      <c r="Z3732" s="1060"/>
    </row>
    <row r="3733" spans="25:26">
      <c r="Y3733" s="1354"/>
      <c r="Z3733" s="1060"/>
    </row>
    <row r="3734" spans="25:26">
      <c r="Y3734" s="1354"/>
      <c r="Z3734" s="1060"/>
    </row>
    <row r="3735" spans="25:26">
      <c r="Y3735" s="1354"/>
      <c r="Z3735" s="1060"/>
    </row>
    <row r="3736" spans="25:26">
      <c r="Y3736" s="1354"/>
      <c r="Z3736" s="1060"/>
    </row>
    <row r="3737" spans="25:26">
      <c r="Y3737" s="1354"/>
      <c r="Z3737" s="1060"/>
    </row>
    <row r="3738" spans="25:26">
      <c r="Y3738" s="1354"/>
      <c r="Z3738" s="1060"/>
    </row>
    <row r="3739" spans="25:26">
      <c r="Y3739" s="1354"/>
      <c r="Z3739" s="1060"/>
    </row>
    <row r="3740" spans="25:26">
      <c r="Y3740" s="1354"/>
      <c r="Z3740" s="1060"/>
    </row>
    <row r="3741" spans="25:26">
      <c r="Y3741" s="1354"/>
      <c r="Z3741" s="1060"/>
    </row>
    <row r="3742" spans="25:26">
      <c r="Y3742" s="1354"/>
      <c r="Z3742" s="1060"/>
    </row>
    <row r="3743" spans="25:26">
      <c r="Y3743" s="1354"/>
      <c r="Z3743" s="1060"/>
    </row>
    <row r="3744" spans="25:26">
      <c r="Y3744" s="1354"/>
      <c r="Z3744" s="1060"/>
    </row>
    <row r="3745" spans="25:26">
      <c r="Y3745" s="1354"/>
      <c r="Z3745" s="1060"/>
    </row>
    <row r="3746" spans="25:26">
      <c r="Y3746" s="1354"/>
      <c r="Z3746" s="1060"/>
    </row>
    <row r="3747" spans="25:26">
      <c r="Y3747" s="1354"/>
      <c r="Z3747" s="1060"/>
    </row>
    <row r="3748" spans="25:26">
      <c r="Y3748" s="1354"/>
      <c r="Z3748" s="1060"/>
    </row>
    <row r="3749" spans="25:26">
      <c r="Y3749" s="1354"/>
      <c r="Z3749" s="1060"/>
    </row>
    <row r="3750" spans="25:26">
      <c r="Y3750" s="1354"/>
      <c r="Z3750" s="1060"/>
    </row>
    <row r="3751" spans="25:26">
      <c r="Y3751" s="1354"/>
      <c r="Z3751" s="1060"/>
    </row>
    <row r="3752" spans="25:26">
      <c r="Y3752" s="1354"/>
      <c r="Z3752" s="1060"/>
    </row>
    <row r="3753" spans="25:26">
      <c r="Y3753" s="1354"/>
      <c r="Z3753" s="1060"/>
    </row>
    <row r="3754" spans="25:26">
      <c r="Y3754" s="1354"/>
      <c r="Z3754" s="1060"/>
    </row>
    <row r="3755" spans="25:26">
      <c r="Y3755" s="1354"/>
      <c r="Z3755" s="1060"/>
    </row>
    <row r="3756" spans="25:26">
      <c r="Y3756" s="1354"/>
      <c r="Z3756" s="1060"/>
    </row>
    <row r="3757" spans="25:26">
      <c r="Y3757" s="1354"/>
      <c r="Z3757" s="1060"/>
    </row>
    <row r="3758" spans="25:26">
      <c r="Y3758" s="1354"/>
      <c r="Z3758" s="1060"/>
    </row>
    <row r="3759" spans="25:26">
      <c r="Y3759" s="1354"/>
      <c r="Z3759" s="1060"/>
    </row>
    <row r="3760" spans="25:26">
      <c r="Y3760" s="1354"/>
      <c r="Z3760" s="1060"/>
    </row>
    <row r="3761" spans="25:26">
      <c r="Y3761" s="1354"/>
      <c r="Z3761" s="1060"/>
    </row>
    <row r="3762" spans="25:26">
      <c r="Y3762" s="1354"/>
      <c r="Z3762" s="1060"/>
    </row>
    <row r="3763" spans="25:26">
      <c r="Y3763" s="1354"/>
      <c r="Z3763" s="1060"/>
    </row>
    <row r="3764" spans="25:26">
      <c r="Y3764" s="1354"/>
      <c r="Z3764" s="1060"/>
    </row>
    <row r="3765" spans="25:26">
      <c r="Y3765" s="1354"/>
      <c r="Z3765" s="1060"/>
    </row>
    <row r="3766" spans="25:26">
      <c r="Y3766" s="1354"/>
      <c r="Z3766" s="1060"/>
    </row>
    <row r="3767" spans="25:26">
      <c r="Y3767" s="1354"/>
      <c r="Z3767" s="1060"/>
    </row>
    <row r="3768" spans="25:26">
      <c r="Y3768" s="1354"/>
      <c r="Z3768" s="1060"/>
    </row>
    <row r="3769" spans="25:26">
      <c r="Y3769" s="1354"/>
      <c r="Z3769" s="1060"/>
    </row>
    <row r="3770" spans="25:26">
      <c r="Y3770" s="1354"/>
      <c r="Z3770" s="1060"/>
    </row>
    <row r="3771" spans="25:26">
      <c r="Y3771" s="1354"/>
      <c r="Z3771" s="1060"/>
    </row>
    <row r="3772" spans="25:26">
      <c r="Y3772" s="1354"/>
      <c r="Z3772" s="1060"/>
    </row>
    <row r="3773" spans="25:26">
      <c r="Y3773" s="1354"/>
      <c r="Z3773" s="1060"/>
    </row>
    <row r="3774" spans="25:26">
      <c r="Y3774" s="1354"/>
      <c r="Z3774" s="1060"/>
    </row>
    <row r="3775" spans="25:26">
      <c r="Y3775" s="1354"/>
      <c r="Z3775" s="1060"/>
    </row>
    <row r="3776" spans="25:26">
      <c r="Y3776" s="1354"/>
      <c r="Z3776" s="1060"/>
    </row>
    <row r="3777" spans="25:26">
      <c r="Y3777" s="1354"/>
      <c r="Z3777" s="1060"/>
    </row>
    <row r="3778" spans="25:26">
      <c r="Y3778" s="1354"/>
      <c r="Z3778" s="1060"/>
    </row>
    <row r="3779" spans="25:26">
      <c r="Y3779" s="1354"/>
      <c r="Z3779" s="1060"/>
    </row>
    <row r="3780" spans="25:26">
      <c r="Y3780" s="1354"/>
      <c r="Z3780" s="1060"/>
    </row>
    <row r="3781" spans="25:26">
      <c r="Y3781" s="1354"/>
      <c r="Z3781" s="1060"/>
    </row>
    <row r="3782" spans="25:26">
      <c r="Y3782" s="1354"/>
      <c r="Z3782" s="1060"/>
    </row>
    <row r="3783" spans="25:26">
      <c r="Y3783" s="1354"/>
      <c r="Z3783" s="1060"/>
    </row>
    <row r="3784" spans="25:26">
      <c r="Y3784" s="1354"/>
      <c r="Z3784" s="1060"/>
    </row>
    <row r="3785" spans="25:26">
      <c r="Y3785" s="1354"/>
      <c r="Z3785" s="1060"/>
    </row>
    <row r="3786" spans="25:26">
      <c r="Y3786" s="1354"/>
      <c r="Z3786" s="1060"/>
    </row>
    <row r="3787" spans="25:26">
      <c r="Y3787" s="1354"/>
      <c r="Z3787" s="1060"/>
    </row>
    <row r="3788" spans="25:26">
      <c r="Y3788" s="1354"/>
      <c r="Z3788" s="1060"/>
    </row>
    <row r="3789" spans="25:26">
      <c r="Y3789" s="1354"/>
      <c r="Z3789" s="1060"/>
    </row>
    <row r="3790" spans="25:26">
      <c r="Y3790" s="1354"/>
      <c r="Z3790" s="1060"/>
    </row>
    <row r="3791" spans="25:26">
      <c r="Y3791" s="1354"/>
      <c r="Z3791" s="1060"/>
    </row>
    <row r="3792" spans="25:26">
      <c r="Y3792" s="1354"/>
      <c r="Z3792" s="1060"/>
    </row>
    <row r="3793" spans="25:26">
      <c r="Y3793" s="1354"/>
      <c r="Z3793" s="1060"/>
    </row>
    <row r="3794" spans="25:26">
      <c r="Y3794" s="1354"/>
      <c r="Z3794" s="1060"/>
    </row>
    <row r="3795" spans="25:26">
      <c r="Y3795" s="1354"/>
      <c r="Z3795" s="1060"/>
    </row>
    <row r="3796" spans="25:26">
      <c r="Y3796" s="1354"/>
      <c r="Z3796" s="1060"/>
    </row>
    <row r="3797" spans="25:26">
      <c r="Y3797" s="1354"/>
      <c r="Z3797" s="1060"/>
    </row>
    <row r="3798" spans="25:26">
      <c r="Y3798" s="1354"/>
      <c r="Z3798" s="1060"/>
    </row>
    <row r="3799" spans="25:26">
      <c r="Y3799" s="1354"/>
      <c r="Z3799" s="1060"/>
    </row>
    <row r="3800" spans="25:26">
      <c r="Y3800" s="1354"/>
      <c r="Z3800" s="1060"/>
    </row>
    <row r="3801" spans="25:26">
      <c r="Y3801" s="1354"/>
      <c r="Z3801" s="1060"/>
    </row>
    <row r="3802" spans="25:26">
      <c r="Y3802" s="1354"/>
      <c r="Z3802" s="1060"/>
    </row>
    <row r="3803" spans="25:26">
      <c r="Y3803" s="1354"/>
      <c r="Z3803" s="1060"/>
    </row>
    <row r="3804" spans="25:26">
      <c r="Y3804" s="1354"/>
      <c r="Z3804" s="1060"/>
    </row>
    <row r="3805" spans="25:26">
      <c r="Y3805" s="1354"/>
      <c r="Z3805" s="1060"/>
    </row>
    <row r="3806" spans="25:26">
      <c r="Y3806" s="1354"/>
      <c r="Z3806" s="1060"/>
    </row>
    <row r="3807" spans="25:26">
      <c r="Y3807" s="1354"/>
      <c r="Z3807" s="1060"/>
    </row>
    <row r="3808" spans="25:26">
      <c r="Y3808" s="1354"/>
      <c r="Z3808" s="1060"/>
    </row>
    <row r="3809" spans="25:26">
      <c r="Y3809" s="1354"/>
      <c r="Z3809" s="1060"/>
    </row>
    <row r="3810" spans="25:26">
      <c r="Y3810" s="1354"/>
      <c r="Z3810" s="1060"/>
    </row>
    <row r="3811" spans="25:26">
      <c r="Y3811" s="1354"/>
      <c r="Z3811" s="1060"/>
    </row>
    <row r="3812" spans="25:26">
      <c r="Y3812" s="1354"/>
      <c r="Z3812" s="1060"/>
    </row>
    <row r="3813" spans="25:26">
      <c r="Y3813" s="1354"/>
      <c r="Z3813" s="1060"/>
    </row>
    <row r="3814" spans="25:26">
      <c r="Y3814" s="1354"/>
      <c r="Z3814" s="1060"/>
    </row>
    <row r="3815" spans="25:26">
      <c r="Y3815" s="1354"/>
      <c r="Z3815" s="1060"/>
    </row>
    <row r="3816" spans="25:26">
      <c r="Y3816" s="1354"/>
      <c r="Z3816" s="1060"/>
    </row>
    <row r="3817" spans="25:26">
      <c r="Y3817" s="1354"/>
      <c r="Z3817" s="1060"/>
    </row>
    <row r="3818" spans="25:26">
      <c r="Y3818" s="1354"/>
      <c r="Z3818" s="1060"/>
    </row>
    <row r="3819" spans="25:26">
      <c r="Y3819" s="1354"/>
      <c r="Z3819" s="1060"/>
    </row>
    <row r="3820" spans="25:26">
      <c r="Y3820" s="1354"/>
      <c r="Z3820" s="1060"/>
    </row>
    <row r="3821" spans="25:26">
      <c r="Y3821" s="1354"/>
      <c r="Z3821" s="1060"/>
    </row>
    <row r="3822" spans="25:26">
      <c r="Y3822" s="1354"/>
      <c r="Z3822" s="1060"/>
    </row>
    <row r="3823" spans="25:26">
      <c r="Y3823" s="1354"/>
      <c r="Z3823" s="1060"/>
    </row>
    <row r="3824" spans="25:26">
      <c r="Y3824" s="1354"/>
      <c r="Z3824" s="1060"/>
    </row>
    <row r="3825" spans="25:26">
      <c r="Y3825" s="1354"/>
      <c r="Z3825" s="1060"/>
    </row>
    <row r="3826" spans="25:26">
      <c r="Y3826" s="1354"/>
      <c r="Z3826" s="1060"/>
    </row>
    <row r="3827" spans="25:26">
      <c r="Y3827" s="1354"/>
      <c r="Z3827" s="1060"/>
    </row>
    <row r="3828" spans="25:26">
      <c r="Y3828" s="1354"/>
      <c r="Z3828" s="1060"/>
    </row>
    <row r="3829" spans="25:26">
      <c r="Y3829" s="1354"/>
      <c r="Z3829" s="1060"/>
    </row>
    <row r="3830" spans="25:26">
      <c r="Y3830" s="1354"/>
      <c r="Z3830" s="1060"/>
    </row>
    <row r="3831" spans="25:26">
      <c r="Y3831" s="1354"/>
      <c r="Z3831" s="1060"/>
    </row>
    <row r="3832" spans="25:26">
      <c r="Y3832" s="1354"/>
      <c r="Z3832" s="1060"/>
    </row>
    <row r="3833" spans="25:26">
      <c r="Y3833" s="1354"/>
      <c r="Z3833" s="1060"/>
    </row>
    <row r="3834" spans="25:26">
      <c r="Y3834" s="1354"/>
      <c r="Z3834" s="1060"/>
    </row>
    <row r="3835" spans="25:26">
      <c r="Y3835" s="1354"/>
      <c r="Z3835" s="1060"/>
    </row>
    <row r="3836" spans="25:26">
      <c r="Y3836" s="1354"/>
      <c r="Z3836" s="1060"/>
    </row>
    <row r="3837" spans="25:26">
      <c r="Y3837" s="1354"/>
      <c r="Z3837" s="1060"/>
    </row>
    <row r="3838" spans="25:26">
      <c r="Y3838" s="1354"/>
      <c r="Z3838" s="1060"/>
    </row>
    <row r="3839" spans="25:26">
      <c r="Y3839" s="1354"/>
      <c r="Z3839" s="1060"/>
    </row>
    <row r="3840" spans="25:26">
      <c r="Y3840" s="1354"/>
      <c r="Z3840" s="1060"/>
    </row>
    <row r="3841" spans="25:26">
      <c r="Y3841" s="1354"/>
      <c r="Z3841" s="1060"/>
    </row>
    <row r="3842" spans="25:26">
      <c r="Y3842" s="1354"/>
      <c r="Z3842" s="1060"/>
    </row>
    <row r="3843" spans="25:26">
      <c r="Y3843" s="1354"/>
      <c r="Z3843" s="1060"/>
    </row>
    <row r="3844" spans="25:26">
      <c r="Y3844" s="1354"/>
      <c r="Z3844" s="1060"/>
    </row>
    <row r="3845" spans="25:26">
      <c r="Y3845" s="1354"/>
      <c r="Z3845" s="1060"/>
    </row>
    <row r="3846" spans="25:26">
      <c r="Y3846" s="1354"/>
      <c r="Z3846" s="1060"/>
    </row>
    <row r="3847" spans="25:26">
      <c r="Y3847" s="1354"/>
      <c r="Z3847" s="1060"/>
    </row>
    <row r="3848" spans="25:26">
      <c r="Y3848" s="1354"/>
      <c r="Z3848" s="1060"/>
    </row>
    <row r="3849" spans="25:26">
      <c r="Y3849" s="1354"/>
      <c r="Z3849" s="1060"/>
    </row>
    <row r="3850" spans="25:26">
      <c r="Y3850" s="1354"/>
      <c r="Z3850" s="1060"/>
    </row>
    <row r="3851" spans="25:26">
      <c r="Y3851" s="1354"/>
      <c r="Z3851" s="1060"/>
    </row>
    <row r="3852" spans="25:26">
      <c r="Y3852" s="1354"/>
      <c r="Z3852" s="1060"/>
    </row>
    <row r="3853" spans="25:26">
      <c r="Y3853" s="1354"/>
      <c r="Z3853" s="1060"/>
    </row>
    <row r="3854" spans="25:26">
      <c r="Y3854" s="1354"/>
      <c r="Z3854" s="1060"/>
    </row>
    <row r="3855" spans="25:26">
      <c r="Y3855" s="1354"/>
      <c r="Z3855" s="1060"/>
    </row>
    <row r="3856" spans="25:26">
      <c r="Y3856" s="1354"/>
      <c r="Z3856" s="1060"/>
    </row>
    <row r="3857" spans="25:26">
      <c r="Y3857" s="1354"/>
      <c r="Z3857" s="1060"/>
    </row>
    <row r="3858" spans="25:26">
      <c r="Y3858" s="1354"/>
      <c r="Z3858" s="1060"/>
    </row>
    <row r="3859" spans="25:26">
      <c r="Y3859" s="1354"/>
      <c r="Z3859" s="1060"/>
    </row>
    <row r="3860" spans="25:26">
      <c r="Y3860" s="1354"/>
      <c r="Z3860" s="1060"/>
    </row>
    <row r="3861" spans="25:26">
      <c r="Y3861" s="1354"/>
      <c r="Z3861" s="1060"/>
    </row>
    <row r="3862" spans="25:26">
      <c r="Y3862" s="1354"/>
      <c r="Z3862" s="1060"/>
    </row>
    <row r="3863" spans="25:26">
      <c r="Y3863" s="1354"/>
      <c r="Z3863" s="1060"/>
    </row>
    <row r="3864" spans="25:26">
      <c r="Y3864" s="1354"/>
      <c r="Z3864" s="1060"/>
    </row>
    <row r="3865" spans="25:26">
      <c r="Y3865" s="1354"/>
      <c r="Z3865" s="1060"/>
    </row>
    <row r="3866" spans="25:26">
      <c r="Y3866" s="1354"/>
      <c r="Z3866" s="1060"/>
    </row>
    <row r="3867" spans="25:26">
      <c r="Y3867" s="1354"/>
      <c r="Z3867" s="1060"/>
    </row>
    <row r="3868" spans="25:26">
      <c r="Y3868" s="1354"/>
      <c r="Z3868" s="1060"/>
    </row>
    <row r="3869" spans="25:26">
      <c r="Y3869" s="1354"/>
      <c r="Z3869" s="1060"/>
    </row>
    <row r="3870" spans="25:26">
      <c r="Y3870" s="1354"/>
      <c r="Z3870" s="1060"/>
    </row>
    <row r="3871" spans="25:26">
      <c r="Y3871" s="1354"/>
      <c r="Z3871" s="1060"/>
    </row>
    <row r="3872" spans="25:26">
      <c r="Y3872" s="1354"/>
      <c r="Z3872" s="1060"/>
    </row>
    <row r="3873" spans="25:26">
      <c r="Y3873" s="1354"/>
      <c r="Z3873" s="1060"/>
    </row>
    <row r="3874" spans="25:26">
      <c r="Y3874" s="1354"/>
      <c r="Z3874" s="1060"/>
    </row>
    <row r="3875" spans="25:26">
      <c r="Y3875" s="1354"/>
      <c r="Z3875" s="1060"/>
    </row>
    <row r="3876" spans="25:26">
      <c r="Y3876" s="1354"/>
      <c r="Z3876" s="1060"/>
    </row>
    <row r="3877" spans="25:26">
      <c r="Y3877" s="1354"/>
      <c r="Z3877" s="1060"/>
    </row>
    <row r="3878" spans="25:26">
      <c r="Y3878" s="1354"/>
      <c r="Z3878" s="1060"/>
    </row>
    <row r="3879" spans="25:26">
      <c r="Y3879" s="1354"/>
      <c r="Z3879" s="1060"/>
    </row>
    <row r="3880" spans="25:26">
      <c r="Y3880" s="1354"/>
      <c r="Z3880" s="1060"/>
    </row>
    <row r="3881" spans="25:26">
      <c r="Y3881" s="1354"/>
      <c r="Z3881" s="1060"/>
    </row>
    <row r="3882" spans="25:26">
      <c r="Y3882" s="1354"/>
      <c r="Z3882" s="1060"/>
    </row>
    <row r="3883" spans="25:26">
      <c r="Y3883" s="1354"/>
      <c r="Z3883" s="1060"/>
    </row>
    <row r="3884" spans="25:26">
      <c r="Y3884" s="1354"/>
      <c r="Z3884" s="1060"/>
    </row>
    <row r="3885" spans="25:26">
      <c r="Y3885" s="1354"/>
      <c r="Z3885" s="1060"/>
    </row>
    <row r="3886" spans="25:26">
      <c r="Y3886" s="1354"/>
      <c r="Z3886" s="1060"/>
    </row>
    <row r="3887" spans="25:26">
      <c r="Y3887" s="1354"/>
      <c r="Z3887" s="1060"/>
    </row>
    <row r="3888" spans="25:26">
      <c r="Y3888" s="1354"/>
      <c r="Z3888" s="1060"/>
    </row>
    <row r="3889" spans="25:26">
      <c r="Y3889" s="1354"/>
      <c r="Z3889" s="1060"/>
    </row>
    <row r="3890" spans="25:26">
      <c r="Y3890" s="1354"/>
      <c r="Z3890" s="1060"/>
    </row>
    <row r="3891" spans="25:26">
      <c r="Y3891" s="1354"/>
      <c r="Z3891" s="1060"/>
    </row>
    <row r="3892" spans="25:26">
      <c r="Y3892" s="1354"/>
      <c r="Z3892" s="1060"/>
    </row>
    <row r="3893" spans="25:26">
      <c r="Y3893" s="1354"/>
      <c r="Z3893" s="1060"/>
    </row>
    <row r="3894" spans="25:26">
      <c r="Y3894" s="1354"/>
      <c r="Z3894" s="1060"/>
    </row>
    <row r="3895" spans="25:26">
      <c r="Y3895" s="1354"/>
      <c r="Z3895" s="1060"/>
    </row>
    <row r="3896" spans="25:26">
      <c r="Y3896" s="1354"/>
      <c r="Z3896" s="1060"/>
    </row>
    <row r="3897" spans="25:26">
      <c r="Y3897" s="1354"/>
      <c r="Z3897" s="1060"/>
    </row>
    <row r="3898" spans="25:26">
      <c r="Y3898" s="1354"/>
      <c r="Z3898" s="1060"/>
    </row>
    <row r="3899" spans="25:26">
      <c r="Y3899" s="1354"/>
      <c r="Z3899" s="1060"/>
    </row>
    <row r="3900" spans="25:26">
      <c r="Y3900" s="1354"/>
      <c r="Z3900" s="1060"/>
    </row>
    <row r="3901" spans="25:26">
      <c r="Y3901" s="1354"/>
      <c r="Z3901" s="1060"/>
    </row>
    <row r="3902" spans="25:26">
      <c r="Y3902" s="1354"/>
      <c r="Z3902" s="1060"/>
    </row>
    <row r="3903" spans="25:26">
      <c r="Y3903" s="1354"/>
      <c r="Z3903" s="1060"/>
    </row>
    <row r="3904" spans="25:26">
      <c r="Y3904" s="1354"/>
      <c r="Z3904" s="1060"/>
    </row>
    <row r="3905" spans="25:26">
      <c r="Y3905" s="1354"/>
      <c r="Z3905" s="1060"/>
    </row>
    <row r="3906" spans="25:26">
      <c r="Y3906" s="1354"/>
      <c r="Z3906" s="1060"/>
    </row>
    <row r="3907" spans="25:26">
      <c r="Y3907" s="1354"/>
      <c r="Z3907" s="1060"/>
    </row>
    <row r="3908" spans="25:26">
      <c r="Y3908" s="1354"/>
      <c r="Z3908" s="1060"/>
    </row>
    <row r="3909" spans="25:26">
      <c r="Y3909" s="1354"/>
      <c r="Z3909" s="1060"/>
    </row>
    <row r="3910" spans="25:26">
      <c r="Y3910" s="1354"/>
      <c r="Z3910" s="1060"/>
    </row>
    <row r="3911" spans="25:26">
      <c r="Y3911" s="1354"/>
      <c r="Z3911" s="1060"/>
    </row>
    <row r="3912" spans="25:26">
      <c r="Y3912" s="1354"/>
      <c r="Z3912" s="1060"/>
    </row>
    <row r="3913" spans="25:26">
      <c r="Y3913" s="1354"/>
      <c r="Z3913" s="1060"/>
    </row>
    <row r="3914" spans="25:26">
      <c r="Y3914" s="1354"/>
      <c r="Z3914" s="1060"/>
    </row>
    <row r="3915" spans="25:26">
      <c r="Y3915" s="1354"/>
      <c r="Z3915" s="1060"/>
    </row>
    <row r="3916" spans="25:26">
      <c r="Y3916" s="1354"/>
      <c r="Z3916" s="1060"/>
    </row>
    <row r="3917" spans="25:26">
      <c r="Y3917" s="1354"/>
      <c r="Z3917" s="1060"/>
    </row>
    <row r="3918" spans="25:26">
      <c r="Y3918" s="1354"/>
      <c r="Z3918" s="1060"/>
    </row>
    <row r="3919" spans="25:26">
      <c r="Y3919" s="1354"/>
      <c r="Z3919" s="1060"/>
    </row>
    <row r="3920" spans="25:26">
      <c r="Y3920" s="1354"/>
      <c r="Z3920" s="1060"/>
    </row>
    <row r="3921" spans="25:26">
      <c r="Y3921" s="1354"/>
      <c r="Z3921" s="1060"/>
    </row>
    <row r="3922" spans="25:26">
      <c r="Y3922" s="1354"/>
      <c r="Z3922" s="1060"/>
    </row>
    <row r="3923" spans="25:26">
      <c r="Y3923" s="1354"/>
      <c r="Z3923" s="1060"/>
    </row>
    <row r="3924" spans="25:26">
      <c r="Y3924" s="1354"/>
      <c r="Z3924" s="1060"/>
    </row>
    <row r="3925" spans="25:26">
      <c r="Y3925" s="1354"/>
      <c r="Z3925" s="1060"/>
    </row>
    <row r="3926" spans="25:26">
      <c r="Y3926" s="1354"/>
      <c r="Z3926" s="1060"/>
    </row>
    <row r="3927" spans="25:26">
      <c r="Y3927" s="1354"/>
      <c r="Z3927" s="1060"/>
    </row>
    <row r="3928" spans="25:26">
      <c r="Y3928" s="1354"/>
      <c r="Z3928" s="1060"/>
    </row>
    <row r="3929" spans="25:26">
      <c r="Y3929" s="1354"/>
      <c r="Z3929" s="1060"/>
    </row>
    <row r="3930" spans="25:26">
      <c r="Y3930" s="1354"/>
      <c r="Z3930" s="1060"/>
    </row>
    <row r="3931" spans="25:26">
      <c r="Y3931" s="1354"/>
      <c r="Z3931" s="1060"/>
    </row>
    <row r="3932" spans="25:26">
      <c r="Y3932" s="1354"/>
      <c r="Z3932" s="1060"/>
    </row>
    <row r="3933" spans="25:26">
      <c r="Y3933" s="1354"/>
      <c r="Z3933" s="1060"/>
    </row>
    <row r="3934" spans="25:26">
      <c r="Y3934" s="1354"/>
      <c r="Z3934" s="1060"/>
    </row>
    <row r="3935" spans="25:26">
      <c r="Y3935" s="1354"/>
      <c r="Z3935" s="1060"/>
    </row>
    <row r="3936" spans="25:26">
      <c r="Y3936" s="1354"/>
      <c r="Z3936" s="1060"/>
    </row>
    <row r="3937" spans="25:26">
      <c r="Y3937" s="1354"/>
      <c r="Z3937" s="1060"/>
    </row>
    <row r="3938" spans="25:26">
      <c r="Y3938" s="1354"/>
      <c r="Z3938" s="1060"/>
    </row>
    <row r="3939" spans="25:26">
      <c r="Y3939" s="1354"/>
      <c r="Z3939" s="1060"/>
    </row>
    <row r="3940" spans="25:26">
      <c r="Y3940" s="1354"/>
      <c r="Z3940" s="1060"/>
    </row>
    <row r="3941" spans="25:26">
      <c r="Y3941" s="1354"/>
      <c r="Z3941" s="1060"/>
    </row>
    <row r="3942" spans="25:26">
      <c r="Y3942" s="1354"/>
      <c r="Z3942" s="1060"/>
    </row>
    <row r="3943" spans="25:26">
      <c r="Y3943" s="1354"/>
      <c r="Z3943" s="1060"/>
    </row>
    <row r="3944" spans="25:26">
      <c r="Y3944" s="1354"/>
      <c r="Z3944" s="1060"/>
    </row>
    <row r="3945" spans="25:26">
      <c r="Y3945" s="1354"/>
      <c r="Z3945" s="1060"/>
    </row>
    <row r="3946" spans="25:26">
      <c r="Y3946" s="1354"/>
      <c r="Z3946" s="1060"/>
    </row>
    <row r="3947" spans="25:26">
      <c r="Y3947" s="1354"/>
      <c r="Z3947" s="1060"/>
    </row>
    <row r="3948" spans="25:26">
      <c r="Y3948" s="1354"/>
      <c r="Z3948" s="1060"/>
    </row>
    <row r="3949" spans="25:26">
      <c r="Y3949" s="1354"/>
      <c r="Z3949" s="1060"/>
    </row>
    <row r="3950" spans="25:26">
      <c r="Y3950" s="1354"/>
      <c r="Z3950" s="1060"/>
    </row>
    <row r="3951" spans="25:26">
      <c r="Y3951" s="1354"/>
      <c r="Z3951" s="1060"/>
    </row>
    <row r="3952" spans="25:26">
      <c r="Y3952" s="1354"/>
      <c r="Z3952" s="1060"/>
    </row>
    <row r="3953" spans="25:26">
      <c r="Y3953" s="1354"/>
      <c r="Z3953" s="1060"/>
    </row>
    <row r="3954" spans="25:26">
      <c r="Y3954" s="1354"/>
      <c r="Z3954" s="1060"/>
    </row>
    <row r="3955" spans="25:26">
      <c r="Y3955" s="1354"/>
      <c r="Z3955" s="1060"/>
    </row>
    <row r="3956" spans="25:26">
      <c r="Y3956" s="1354"/>
      <c r="Z3956" s="1060"/>
    </row>
    <row r="3957" spans="25:26">
      <c r="Y3957" s="1354"/>
      <c r="Z3957" s="1060"/>
    </row>
    <row r="3958" spans="25:26">
      <c r="Y3958" s="1354"/>
      <c r="Z3958" s="1060"/>
    </row>
    <row r="3959" spans="25:26">
      <c r="Y3959" s="1354"/>
      <c r="Z3959" s="1060"/>
    </row>
    <row r="3960" spans="25:26">
      <c r="Y3960" s="1354"/>
      <c r="Z3960" s="1060"/>
    </row>
    <row r="3961" spans="25:26">
      <c r="Y3961" s="1354"/>
      <c r="Z3961" s="1060"/>
    </row>
    <row r="3962" spans="25:26">
      <c r="Y3962" s="1354"/>
      <c r="Z3962" s="1060"/>
    </row>
    <row r="3963" spans="25:26">
      <c r="Y3963" s="1354"/>
      <c r="Z3963" s="1060"/>
    </row>
    <row r="3964" spans="25:26">
      <c r="Y3964" s="1354"/>
      <c r="Z3964" s="1060"/>
    </row>
    <row r="3965" spans="25:26">
      <c r="Y3965" s="1354"/>
      <c r="Z3965" s="1060"/>
    </row>
    <row r="3966" spans="25:26">
      <c r="Y3966" s="1354"/>
      <c r="Z3966" s="1060"/>
    </row>
    <row r="3967" spans="25:26">
      <c r="Y3967" s="1354"/>
      <c r="Z3967" s="1060"/>
    </row>
    <row r="3968" spans="25:26">
      <c r="Y3968" s="1354"/>
      <c r="Z3968" s="1060"/>
    </row>
    <row r="3969" spans="25:26">
      <c r="Y3969" s="1354"/>
      <c r="Z3969" s="1060"/>
    </row>
    <row r="3970" spans="25:26">
      <c r="Y3970" s="1354"/>
      <c r="Z3970" s="1060"/>
    </row>
    <row r="3971" spans="25:26">
      <c r="Y3971" s="1354"/>
      <c r="Z3971" s="1060"/>
    </row>
    <row r="3972" spans="25:26">
      <c r="Y3972" s="1354"/>
      <c r="Z3972" s="1060"/>
    </row>
    <row r="3973" spans="25:26">
      <c r="Y3973" s="1354"/>
      <c r="Z3973" s="1060"/>
    </row>
    <row r="3974" spans="25:26">
      <c r="Y3974" s="1354"/>
      <c r="Z3974" s="1060"/>
    </row>
    <row r="3975" spans="25:26">
      <c r="Y3975" s="1354"/>
      <c r="Z3975" s="1060"/>
    </row>
    <row r="3976" spans="25:26">
      <c r="Y3976" s="1354"/>
      <c r="Z3976" s="1060"/>
    </row>
    <row r="3977" spans="25:26">
      <c r="Y3977" s="1354"/>
      <c r="Z3977" s="1060"/>
    </row>
    <row r="3978" spans="25:26">
      <c r="Y3978" s="1354"/>
      <c r="Z3978" s="1060"/>
    </row>
    <row r="3979" spans="25:26">
      <c r="Y3979" s="1354"/>
      <c r="Z3979" s="1060"/>
    </row>
    <row r="3980" spans="25:26">
      <c r="Y3980" s="1354"/>
      <c r="Z3980" s="1060"/>
    </row>
    <row r="3981" spans="25:26">
      <c r="Y3981" s="1354"/>
      <c r="Z3981" s="1060"/>
    </row>
    <row r="3982" spans="25:26">
      <c r="Y3982" s="1354"/>
      <c r="Z3982" s="1060"/>
    </row>
    <row r="3983" spans="25:26">
      <c r="Y3983" s="1354"/>
      <c r="Z3983" s="1060"/>
    </row>
    <row r="3984" spans="25:26">
      <c r="Y3984" s="1354"/>
      <c r="Z3984" s="1060"/>
    </row>
    <row r="3985" spans="25:26">
      <c r="Y3985" s="1354"/>
      <c r="Z3985" s="1060"/>
    </row>
    <row r="3986" spans="25:26">
      <c r="Y3986" s="1354"/>
      <c r="Z3986" s="1060"/>
    </row>
    <row r="3987" spans="25:26">
      <c r="Y3987" s="1354"/>
      <c r="Z3987" s="1060"/>
    </row>
    <row r="3988" spans="25:26">
      <c r="Y3988" s="1354"/>
      <c r="Z3988" s="1060"/>
    </row>
    <row r="3989" spans="25:26">
      <c r="Y3989" s="1354"/>
      <c r="Z3989" s="1060"/>
    </row>
    <row r="3990" spans="25:26">
      <c r="Y3990" s="1354"/>
      <c r="Z3990" s="1060"/>
    </row>
    <row r="3991" spans="25:26">
      <c r="Y3991" s="1354"/>
      <c r="Z3991" s="1060"/>
    </row>
    <row r="3992" spans="25:26">
      <c r="Y3992" s="1354"/>
      <c r="Z3992" s="1060"/>
    </row>
    <row r="3993" spans="25:26">
      <c r="Y3993" s="1354"/>
      <c r="Z3993" s="1060"/>
    </row>
    <row r="3994" spans="25:26">
      <c r="Y3994" s="1354"/>
      <c r="Z3994" s="1060"/>
    </row>
    <row r="3995" spans="25:26">
      <c r="Y3995" s="1354"/>
      <c r="Z3995" s="1060"/>
    </row>
    <row r="3996" spans="25:26">
      <c r="Y3996" s="1354"/>
      <c r="Z3996" s="1060"/>
    </row>
    <row r="3997" spans="25:26">
      <c r="Y3997" s="1354"/>
      <c r="Z3997" s="1060"/>
    </row>
    <row r="3998" spans="25:26">
      <c r="Y3998" s="1354"/>
      <c r="Z3998" s="1060"/>
    </row>
    <row r="3999" spans="25:26">
      <c r="Y3999" s="1354"/>
      <c r="Z3999" s="1060"/>
    </row>
    <row r="4000" spans="25:26">
      <c r="Y4000" s="1354"/>
      <c r="Z4000" s="1060"/>
    </row>
    <row r="4001" spans="25:26">
      <c r="Y4001" s="1354"/>
      <c r="Z4001" s="1060"/>
    </row>
    <row r="4002" spans="25:26">
      <c r="Y4002" s="1354"/>
      <c r="Z4002" s="1060"/>
    </row>
    <row r="4003" spans="25:26">
      <c r="Y4003" s="1354"/>
      <c r="Z4003" s="1060"/>
    </row>
    <row r="4004" spans="25:26">
      <c r="Y4004" s="1354"/>
      <c r="Z4004" s="1060"/>
    </row>
    <row r="4005" spans="25:26">
      <c r="Y4005" s="1354"/>
      <c r="Z4005" s="1060"/>
    </row>
    <row r="4006" spans="25:26">
      <c r="Y4006" s="1354"/>
      <c r="Z4006" s="1060"/>
    </row>
    <row r="4007" spans="25:26">
      <c r="Y4007" s="1354"/>
      <c r="Z4007" s="1060"/>
    </row>
    <row r="4008" spans="25:26">
      <c r="Y4008" s="1354"/>
      <c r="Z4008" s="1060"/>
    </row>
    <row r="4009" spans="25:26">
      <c r="Y4009" s="1354"/>
      <c r="Z4009" s="1060"/>
    </row>
    <row r="4010" spans="25:26">
      <c r="Y4010" s="1354"/>
      <c r="Z4010" s="1060"/>
    </row>
    <row r="4011" spans="25:26">
      <c r="Y4011" s="1354"/>
      <c r="Z4011" s="1060"/>
    </row>
    <row r="4012" spans="25:26">
      <c r="Y4012" s="1354"/>
      <c r="Z4012" s="1060"/>
    </row>
    <row r="4013" spans="25:26">
      <c r="Y4013" s="1354"/>
      <c r="Z4013" s="1060"/>
    </row>
    <row r="4014" spans="25:26">
      <c r="Y4014" s="1354"/>
      <c r="Z4014" s="1060"/>
    </row>
    <row r="4015" spans="25:26">
      <c r="Y4015" s="1354"/>
      <c r="Z4015" s="1060"/>
    </row>
    <row r="4016" spans="25:26">
      <c r="Y4016" s="1354"/>
      <c r="Z4016" s="1060"/>
    </row>
    <row r="4017" spans="25:26">
      <c r="Y4017" s="1354"/>
      <c r="Z4017" s="1060"/>
    </row>
    <row r="4018" spans="25:26">
      <c r="Y4018" s="1354"/>
      <c r="Z4018" s="1060"/>
    </row>
    <row r="4019" spans="25:26">
      <c r="Y4019" s="1354"/>
      <c r="Z4019" s="1060"/>
    </row>
    <row r="4020" spans="25:26">
      <c r="Y4020" s="1354"/>
      <c r="Z4020" s="1060"/>
    </row>
    <row r="4021" spans="25:26">
      <c r="Y4021" s="1354"/>
      <c r="Z4021" s="1060"/>
    </row>
    <row r="4022" spans="25:26">
      <c r="Y4022" s="1354"/>
      <c r="Z4022" s="1060"/>
    </row>
    <row r="4023" spans="25:26">
      <c r="Y4023" s="1354"/>
      <c r="Z4023" s="1060"/>
    </row>
    <row r="4024" spans="25:26">
      <c r="Y4024" s="1354"/>
      <c r="Z4024" s="1060"/>
    </row>
    <row r="4025" spans="25:26">
      <c r="Y4025" s="1354"/>
      <c r="Z4025" s="1060"/>
    </row>
    <row r="4026" spans="25:26">
      <c r="Y4026" s="1354"/>
      <c r="Z4026" s="1060"/>
    </row>
    <row r="4027" spans="25:26">
      <c r="Y4027" s="1354"/>
      <c r="Z4027" s="1060"/>
    </row>
    <row r="4028" spans="25:26">
      <c r="Y4028" s="1354"/>
      <c r="Z4028" s="1060"/>
    </row>
    <row r="4029" spans="25:26">
      <c r="Y4029" s="1354"/>
      <c r="Z4029" s="1060"/>
    </row>
    <row r="4030" spans="25:26">
      <c r="Y4030" s="1354"/>
      <c r="Z4030" s="1060"/>
    </row>
    <row r="4031" spans="25:26">
      <c r="Y4031" s="1354"/>
      <c r="Z4031" s="1060"/>
    </row>
    <row r="4032" spans="25:26">
      <c r="Y4032" s="1354"/>
      <c r="Z4032" s="1060"/>
    </row>
    <row r="4033" spans="25:26">
      <c r="Y4033" s="1354"/>
      <c r="Z4033" s="1060"/>
    </row>
    <row r="4034" spans="25:26">
      <c r="Y4034" s="1354"/>
      <c r="Z4034" s="1060"/>
    </row>
    <row r="4035" spans="25:26">
      <c r="Y4035" s="1354"/>
      <c r="Z4035" s="1060"/>
    </row>
    <row r="4036" spans="25:26">
      <c r="Y4036" s="1354"/>
      <c r="Z4036" s="1060"/>
    </row>
    <row r="4037" spans="25:26">
      <c r="Y4037" s="1354"/>
      <c r="Z4037" s="1060"/>
    </row>
    <row r="4038" spans="25:26">
      <c r="Y4038" s="1354"/>
      <c r="Z4038" s="1060"/>
    </row>
    <row r="4039" spans="25:26">
      <c r="Y4039" s="1354"/>
      <c r="Z4039" s="1060"/>
    </row>
    <row r="4040" spans="25:26">
      <c r="Y4040" s="1354"/>
      <c r="Z4040" s="1060"/>
    </row>
    <row r="4041" spans="25:26">
      <c r="Y4041" s="1354"/>
      <c r="Z4041" s="1060"/>
    </row>
    <row r="4042" spans="25:26">
      <c r="Y4042" s="1354"/>
      <c r="Z4042" s="1060"/>
    </row>
    <row r="4043" spans="25:26">
      <c r="Y4043" s="1354"/>
      <c r="Z4043" s="1060"/>
    </row>
    <row r="4044" spans="25:26">
      <c r="Y4044" s="1354"/>
      <c r="Z4044" s="1060"/>
    </row>
    <row r="4045" spans="25:26">
      <c r="Y4045" s="1354"/>
      <c r="Z4045" s="1060"/>
    </row>
    <row r="4046" spans="25:26">
      <c r="Y4046" s="1354"/>
      <c r="Z4046" s="1060"/>
    </row>
    <row r="4047" spans="25:26">
      <c r="Y4047" s="1354"/>
      <c r="Z4047" s="1060"/>
    </row>
    <row r="4048" spans="25:26">
      <c r="Y4048" s="1354"/>
      <c r="Z4048" s="1060"/>
    </row>
    <row r="4049" spans="25:26">
      <c r="Y4049" s="1354"/>
      <c r="Z4049" s="1060"/>
    </row>
    <row r="4050" spans="25:26">
      <c r="Y4050" s="1354"/>
      <c r="Z4050" s="1060"/>
    </row>
    <row r="4051" spans="25:26">
      <c r="Y4051" s="1354"/>
      <c r="Z4051" s="1060"/>
    </row>
    <row r="4052" spans="25:26">
      <c r="Y4052" s="1354"/>
      <c r="Z4052" s="1060"/>
    </row>
    <row r="4053" spans="25:26">
      <c r="Y4053" s="1354"/>
      <c r="Z4053" s="1060"/>
    </row>
    <row r="4054" spans="25:26">
      <c r="Y4054" s="1354"/>
      <c r="Z4054" s="1060"/>
    </row>
    <row r="4055" spans="25:26">
      <c r="Y4055" s="1354"/>
      <c r="Z4055" s="1060"/>
    </row>
    <row r="4056" spans="25:26">
      <c r="Y4056" s="1354"/>
      <c r="Z4056" s="1060"/>
    </row>
    <row r="4057" spans="25:26">
      <c r="Y4057" s="1354"/>
      <c r="Z4057" s="1060"/>
    </row>
    <row r="4058" spans="25:26">
      <c r="Y4058" s="1354"/>
      <c r="Z4058" s="1060"/>
    </row>
    <row r="4059" spans="25:26">
      <c r="Y4059" s="1354"/>
      <c r="Z4059" s="1060"/>
    </row>
    <row r="4060" spans="25:26">
      <c r="Y4060" s="1354"/>
      <c r="Z4060" s="1060"/>
    </row>
    <row r="4061" spans="25:26">
      <c r="Y4061" s="1354"/>
      <c r="Z4061" s="1060"/>
    </row>
    <row r="4062" spans="25:26">
      <c r="Y4062" s="1354"/>
      <c r="Z4062" s="1060"/>
    </row>
    <row r="4063" spans="25:26">
      <c r="Y4063" s="1354"/>
      <c r="Z4063" s="1060"/>
    </row>
    <row r="4064" spans="25:26">
      <c r="Y4064" s="1354"/>
      <c r="Z4064" s="1060"/>
    </row>
    <row r="4065" spans="25:26">
      <c r="Y4065" s="1354"/>
      <c r="Z4065" s="1060"/>
    </row>
    <row r="4066" spans="25:26">
      <c r="Y4066" s="1354"/>
      <c r="Z4066" s="1060"/>
    </row>
    <row r="4067" spans="25:26">
      <c r="Y4067" s="1354"/>
      <c r="Z4067" s="1060"/>
    </row>
    <row r="4068" spans="25:26">
      <c r="Y4068" s="1354"/>
      <c r="Z4068" s="1060"/>
    </row>
    <row r="4069" spans="25:26">
      <c r="Y4069" s="1354"/>
      <c r="Z4069" s="1060"/>
    </row>
    <row r="4070" spans="25:26">
      <c r="Y4070" s="1354"/>
      <c r="Z4070" s="1060"/>
    </row>
    <row r="4071" spans="25:26">
      <c r="Y4071" s="1354"/>
      <c r="Z4071" s="1060"/>
    </row>
    <row r="4072" spans="25:26">
      <c r="Y4072" s="1354"/>
      <c r="Z4072" s="1060"/>
    </row>
    <row r="4073" spans="25:26">
      <c r="Y4073" s="1354"/>
      <c r="Z4073" s="1060"/>
    </row>
    <row r="4074" spans="25:26">
      <c r="Y4074" s="1354"/>
      <c r="Z4074" s="1060"/>
    </row>
    <row r="4075" spans="25:26">
      <c r="Y4075" s="1354"/>
      <c r="Z4075" s="1060"/>
    </row>
    <row r="4076" spans="25:26">
      <c r="Y4076" s="1354"/>
      <c r="Z4076" s="1060"/>
    </row>
    <row r="4077" spans="25:26">
      <c r="Y4077" s="1354"/>
      <c r="Z4077" s="1060"/>
    </row>
    <row r="4078" spans="25:26">
      <c r="Y4078" s="1354"/>
      <c r="Z4078" s="1060"/>
    </row>
    <row r="4079" spans="25:26">
      <c r="Y4079" s="1354"/>
      <c r="Z4079" s="1060"/>
    </row>
    <row r="4080" spans="25:26">
      <c r="Y4080" s="1354"/>
      <c r="Z4080" s="1060"/>
    </row>
    <row r="4081" spans="25:26">
      <c r="Y4081" s="1354"/>
      <c r="Z4081" s="1060"/>
    </row>
    <row r="4082" spans="25:26">
      <c r="Y4082" s="1354"/>
      <c r="Z4082" s="1060"/>
    </row>
    <row r="4083" spans="25:26">
      <c r="Y4083" s="1354"/>
      <c r="Z4083" s="1060"/>
    </row>
    <row r="4084" spans="25:26">
      <c r="Y4084" s="1354"/>
      <c r="Z4084" s="1060"/>
    </row>
    <row r="4085" spans="25:26">
      <c r="Y4085" s="1354"/>
      <c r="Z4085" s="1060"/>
    </row>
    <row r="4086" spans="25:26">
      <c r="Y4086" s="1354"/>
      <c r="Z4086" s="1060"/>
    </row>
    <row r="4087" spans="25:26">
      <c r="Y4087" s="1354"/>
      <c r="Z4087" s="1060"/>
    </row>
    <row r="4088" spans="25:26">
      <c r="Y4088" s="1354"/>
      <c r="Z4088" s="1060"/>
    </row>
    <row r="4089" spans="25:26">
      <c r="Y4089" s="1354"/>
      <c r="Z4089" s="1060"/>
    </row>
    <row r="4090" spans="25:26">
      <c r="Y4090" s="1354"/>
      <c r="Z4090" s="1060"/>
    </row>
    <row r="4091" spans="25:26">
      <c r="Y4091" s="1354"/>
      <c r="Z4091" s="1060"/>
    </row>
    <row r="4092" spans="25:26">
      <c r="Y4092" s="1354"/>
      <c r="Z4092" s="1060"/>
    </row>
    <row r="4093" spans="25:26">
      <c r="Y4093" s="1354"/>
      <c r="Z4093" s="1060"/>
    </row>
    <row r="4094" spans="25:26">
      <c r="Y4094" s="1354"/>
      <c r="Z4094" s="1060"/>
    </row>
    <row r="4095" spans="25:26">
      <c r="Y4095" s="1354"/>
      <c r="Z4095" s="1060"/>
    </row>
    <row r="4096" spans="25:26">
      <c r="Y4096" s="1354"/>
      <c r="Z4096" s="1060"/>
    </row>
    <row r="4097" spans="25:26">
      <c r="Y4097" s="1354"/>
      <c r="Z4097" s="1060"/>
    </row>
    <row r="4098" spans="25:26">
      <c r="Y4098" s="1354"/>
      <c r="Z4098" s="1060"/>
    </row>
    <row r="4099" spans="25:26">
      <c r="Y4099" s="1354"/>
      <c r="Z4099" s="1060"/>
    </row>
    <row r="4100" spans="25:26">
      <c r="Y4100" s="1354"/>
      <c r="Z4100" s="1060"/>
    </row>
    <row r="4101" spans="25:26">
      <c r="Y4101" s="1354"/>
      <c r="Z4101" s="1060"/>
    </row>
    <row r="4102" spans="25:26">
      <c r="Y4102" s="1354"/>
      <c r="Z4102" s="1060"/>
    </row>
    <row r="4103" spans="25:26">
      <c r="Y4103" s="1354"/>
      <c r="Z4103" s="1060"/>
    </row>
    <row r="4104" spans="25:26">
      <c r="Y4104" s="1354"/>
      <c r="Z4104" s="1060"/>
    </row>
    <row r="4105" spans="25:26">
      <c r="Y4105" s="1354"/>
      <c r="Z4105" s="1060"/>
    </row>
    <row r="4106" spans="25:26">
      <c r="Y4106" s="1354"/>
      <c r="Z4106" s="1060"/>
    </row>
    <row r="4107" spans="25:26">
      <c r="Y4107" s="1354"/>
      <c r="Z4107" s="1060"/>
    </row>
    <row r="4108" spans="25:26">
      <c r="Y4108" s="1354"/>
      <c r="Z4108" s="1060"/>
    </row>
    <row r="4109" spans="25:26">
      <c r="Y4109" s="1354"/>
      <c r="Z4109" s="1060"/>
    </row>
    <row r="4110" spans="25:26">
      <c r="Y4110" s="1354"/>
      <c r="Z4110" s="1060"/>
    </row>
    <row r="4111" spans="25:26">
      <c r="Y4111" s="1354"/>
      <c r="Z4111" s="1060"/>
    </row>
    <row r="4112" spans="25:26">
      <c r="Y4112" s="1354"/>
      <c r="Z4112" s="1060"/>
    </row>
    <row r="4113" spans="25:26">
      <c r="Y4113" s="1354"/>
      <c r="Z4113" s="1060"/>
    </row>
    <row r="4114" spans="25:26">
      <c r="Y4114" s="1354"/>
      <c r="Z4114" s="1060"/>
    </row>
    <row r="4115" spans="25:26">
      <c r="Y4115" s="1354"/>
      <c r="Z4115" s="1060"/>
    </row>
    <row r="4116" spans="25:26">
      <c r="Y4116" s="1354"/>
      <c r="Z4116" s="1060"/>
    </row>
    <row r="4117" spans="25:26">
      <c r="Y4117" s="1354"/>
      <c r="Z4117" s="1060"/>
    </row>
    <row r="4118" spans="25:26">
      <c r="Y4118" s="1354"/>
      <c r="Z4118" s="1060"/>
    </row>
    <row r="4119" spans="25:26">
      <c r="Y4119" s="1354"/>
      <c r="Z4119" s="1060"/>
    </row>
    <row r="4120" spans="25:26">
      <c r="Y4120" s="1354"/>
      <c r="Z4120" s="1060"/>
    </row>
    <row r="4121" spans="25:26">
      <c r="Y4121" s="1354"/>
      <c r="Z4121" s="1060"/>
    </row>
    <row r="4122" spans="25:26">
      <c r="Y4122" s="1354"/>
      <c r="Z4122" s="1060"/>
    </row>
    <row r="4123" spans="25:26">
      <c r="Y4123" s="1354"/>
      <c r="Z4123" s="1060"/>
    </row>
    <row r="4124" spans="25:26">
      <c r="Y4124" s="1354"/>
      <c r="Z4124" s="1060"/>
    </row>
    <row r="4125" spans="25:26">
      <c r="Y4125" s="1354"/>
      <c r="Z4125" s="1060"/>
    </row>
    <row r="4126" spans="25:26">
      <c r="Y4126" s="1354"/>
      <c r="Z4126" s="1060"/>
    </row>
    <row r="4127" spans="25:26">
      <c r="Y4127" s="1354"/>
      <c r="Z4127" s="1060"/>
    </row>
    <row r="4128" spans="25:26">
      <c r="Y4128" s="1354"/>
      <c r="Z4128" s="1060"/>
    </row>
    <row r="4129" spans="25:26">
      <c r="Y4129" s="1354"/>
      <c r="Z4129" s="1060"/>
    </row>
    <row r="4130" spans="25:26">
      <c r="Y4130" s="1354"/>
      <c r="Z4130" s="1060"/>
    </row>
    <row r="4131" spans="25:26">
      <c r="Y4131" s="1354"/>
      <c r="Z4131" s="1060"/>
    </row>
    <row r="4132" spans="25:26">
      <c r="Y4132" s="1354"/>
      <c r="Z4132" s="1060"/>
    </row>
    <row r="4133" spans="25:26">
      <c r="Y4133" s="1354"/>
      <c r="Z4133" s="1060"/>
    </row>
    <row r="4134" spans="25:26">
      <c r="Y4134" s="1354"/>
      <c r="Z4134" s="1060"/>
    </row>
    <row r="4135" spans="25:26">
      <c r="Y4135" s="1354"/>
      <c r="Z4135" s="1060"/>
    </row>
    <row r="4136" spans="25:26">
      <c r="Y4136" s="1354"/>
      <c r="Z4136" s="1060"/>
    </row>
    <row r="4137" spans="25:26">
      <c r="Y4137" s="1354"/>
      <c r="Z4137" s="1060"/>
    </row>
    <row r="4138" spans="25:26">
      <c r="Y4138" s="1354"/>
      <c r="Z4138" s="1060"/>
    </row>
    <row r="4139" spans="25:26">
      <c r="Y4139" s="1354"/>
      <c r="Z4139" s="1060"/>
    </row>
    <row r="4140" spans="25:26">
      <c r="Y4140" s="1354"/>
      <c r="Z4140" s="1060"/>
    </row>
    <row r="4141" spans="25:26">
      <c r="Y4141" s="1354"/>
      <c r="Z4141" s="1060"/>
    </row>
    <row r="4142" spans="25:26">
      <c r="Y4142" s="1354"/>
      <c r="Z4142" s="1060"/>
    </row>
    <row r="4143" spans="25:26">
      <c r="Y4143" s="1354"/>
      <c r="Z4143" s="1060"/>
    </row>
    <row r="4144" spans="25:26">
      <c r="Y4144" s="1354"/>
      <c r="Z4144" s="1060"/>
    </row>
    <row r="4145" spans="25:26">
      <c r="Y4145" s="1354"/>
      <c r="Z4145" s="1060"/>
    </row>
    <row r="4146" spans="25:26">
      <c r="Y4146" s="1354"/>
      <c r="Z4146" s="1060"/>
    </row>
    <row r="4147" spans="25:26">
      <c r="Y4147" s="1354"/>
      <c r="Z4147" s="1060"/>
    </row>
    <row r="4148" spans="25:26">
      <c r="Y4148" s="1354"/>
      <c r="Z4148" s="1060"/>
    </row>
    <row r="4149" spans="25:26">
      <c r="Y4149" s="1354"/>
      <c r="Z4149" s="1060"/>
    </row>
    <row r="4150" spans="25:26">
      <c r="Y4150" s="1354"/>
      <c r="Z4150" s="1060"/>
    </row>
    <row r="4151" spans="25:26">
      <c r="Y4151" s="1354"/>
      <c r="Z4151" s="1060"/>
    </row>
    <row r="4152" spans="25:26">
      <c r="Y4152" s="1354"/>
      <c r="Z4152" s="1060"/>
    </row>
    <row r="4153" spans="25:26">
      <c r="Y4153" s="1354"/>
      <c r="Z4153" s="1060"/>
    </row>
    <row r="4154" spans="25:26">
      <c r="Y4154" s="1354"/>
      <c r="Z4154" s="1060"/>
    </row>
    <row r="4155" spans="25:26">
      <c r="Y4155" s="1354"/>
      <c r="Z4155" s="1060"/>
    </row>
    <row r="4156" spans="25:26">
      <c r="Y4156" s="1354"/>
      <c r="Z4156" s="1060"/>
    </row>
    <row r="4157" spans="25:26">
      <c r="Y4157" s="1354"/>
      <c r="Z4157" s="1060"/>
    </row>
    <row r="4158" spans="25:26">
      <c r="Y4158" s="1354"/>
      <c r="Z4158" s="1060"/>
    </row>
    <row r="4159" spans="25:26">
      <c r="Y4159" s="1354"/>
      <c r="Z4159" s="1060"/>
    </row>
    <row r="4160" spans="25:26">
      <c r="Y4160" s="1354"/>
      <c r="Z4160" s="1060"/>
    </row>
    <row r="4161" spans="25:26">
      <c r="Y4161" s="1354"/>
      <c r="Z4161" s="1060"/>
    </row>
    <row r="4162" spans="25:26">
      <c r="Y4162" s="1354"/>
      <c r="Z4162" s="1060"/>
    </row>
    <row r="4163" spans="25:26">
      <c r="Y4163" s="1354"/>
      <c r="Z4163" s="1060"/>
    </row>
    <row r="4164" spans="25:26">
      <c r="Y4164" s="1354"/>
      <c r="Z4164" s="1060"/>
    </row>
    <row r="4165" spans="25:26">
      <c r="Y4165" s="1354"/>
      <c r="Z4165" s="1060"/>
    </row>
    <row r="4166" spans="25:26">
      <c r="Y4166" s="1354"/>
      <c r="Z4166" s="1060"/>
    </row>
    <row r="4167" spans="25:26">
      <c r="Y4167" s="1354"/>
      <c r="Z4167" s="1060"/>
    </row>
    <row r="4168" spans="25:26">
      <c r="Y4168" s="1354"/>
      <c r="Z4168" s="1060"/>
    </row>
    <row r="4169" spans="25:26">
      <c r="Y4169" s="1354"/>
      <c r="Z4169" s="1060"/>
    </row>
    <row r="4170" spans="25:26">
      <c r="Y4170" s="1354"/>
      <c r="Z4170" s="1060"/>
    </row>
    <row r="4171" spans="25:26">
      <c r="Y4171" s="1354"/>
      <c r="Z4171" s="1060"/>
    </row>
    <row r="4172" spans="25:26">
      <c r="Y4172" s="1354"/>
      <c r="Z4172" s="1060"/>
    </row>
    <row r="4173" spans="25:26">
      <c r="Y4173" s="1354"/>
      <c r="Z4173" s="1060"/>
    </row>
    <row r="4174" spans="25:26">
      <c r="Y4174" s="1354"/>
      <c r="Z4174" s="1060"/>
    </row>
    <row r="4175" spans="25:26">
      <c r="Y4175" s="1354"/>
      <c r="Z4175" s="1060"/>
    </row>
    <row r="4176" spans="25:26">
      <c r="Y4176" s="1354"/>
      <c r="Z4176" s="1060"/>
    </row>
    <row r="4177" spans="25:26">
      <c r="Y4177" s="1354"/>
      <c r="Z4177" s="1060"/>
    </row>
    <row r="4178" spans="25:26">
      <c r="Y4178" s="1354"/>
      <c r="Z4178" s="1060"/>
    </row>
    <row r="4179" spans="25:26">
      <c r="Y4179" s="1354"/>
      <c r="Z4179" s="1060"/>
    </row>
    <row r="4180" spans="25:26">
      <c r="Y4180" s="1354"/>
      <c r="Z4180" s="1060"/>
    </row>
    <row r="4181" spans="25:26">
      <c r="Y4181" s="1354"/>
      <c r="Z4181" s="1060"/>
    </row>
    <row r="4182" spans="25:26">
      <c r="Y4182" s="1354"/>
      <c r="Z4182" s="1060"/>
    </row>
    <row r="4183" spans="25:26">
      <c r="Y4183" s="1354"/>
      <c r="Z4183" s="1060"/>
    </row>
    <row r="4184" spans="25:26">
      <c r="Y4184" s="1354"/>
      <c r="Z4184" s="1060"/>
    </row>
    <row r="4185" spans="25:26">
      <c r="Y4185" s="1354"/>
      <c r="Z4185" s="1060"/>
    </row>
    <row r="4186" spans="25:26">
      <c r="Y4186" s="1354"/>
      <c r="Z4186" s="1060"/>
    </row>
    <row r="4187" spans="25:26">
      <c r="Y4187" s="1354"/>
      <c r="Z4187" s="1060"/>
    </row>
    <row r="4188" spans="25:26">
      <c r="Y4188" s="1354"/>
      <c r="Z4188" s="1060"/>
    </row>
    <row r="4189" spans="25:26">
      <c r="Y4189" s="1354"/>
      <c r="Z4189" s="1060"/>
    </row>
    <row r="4190" spans="25:26">
      <c r="Y4190" s="1354"/>
      <c r="Z4190" s="1060"/>
    </row>
    <row r="4191" spans="25:26">
      <c r="Y4191" s="1354"/>
      <c r="Z4191" s="1060"/>
    </row>
    <row r="4192" spans="25:26">
      <c r="Y4192" s="1354"/>
      <c r="Z4192" s="1060"/>
    </row>
    <row r="4193" spans="25:26">
      <c r="Y4193" s="1354"/>
      <c r="Z4193" s="1060"/>
    </row>
    <row r="4194" spans="25:26">
      <c r="Y4194" s="1354"/>
      <c r="Z4194" s="1060"/>
    </row>
    <row r="4195" spans="25:26">
      <c r="Y4195" s="1354"/>
      <c r="Z4195" s="1060"/>
    </row>
    <row r="4196" spans="25:26">
      <c r="Y4196" s="1354"/>
      <c r="Z4196" s="1060"/>
    </row>
    <row r="4197" spans="25:26">
      <c r="Y4197" s="1354"/>
      <c r="Z4197" s="1060"/>
    </row>
    <row r="4198" spans="25:26">
      <c r="Y4198" s="1354"/>
      <c r="Z4198" s="1060"/>
    </row>
    <row r="4199" spans="25:26">
      <c r="Y4199" s="1354"/>
      <c r="Z4199" s="1060"/>
    </row>
    <row r="4200" spans="25:26">
      <c r="Y4200" s="1354"/>
      <c r="Z4200" s="1060"/>
    </row>
    <row r="4201" spans="25:26">
      <c r="Y4201" s="1354"/>
      <c r="Z4201" s="1060"/>
    </row>
    <row r="4202" spans="25:26">
      <c r="Y4202" s="1354"/>
      <c r="Z4202" s="1060"/>
    </row>
    <row r="4203" spans="25:26">
      <c r="Y4203" s="1354"/>
      <c r="Z4203" s="1060"/>
    </row>
    <row r="4204" spans="25:26">
      <c r="Y4204" s="1354"/>
      <c r="Z4204" s="1060"/>
    </row>
    <row r="4205" spans="25:26">
      <c r="Y4205" s="1354"/>
      <c r="Z4205" s="1060"/>
    </row>
    <row r="4206" spans="25:26">
      <c r="Y4206" s="1354"/>
      <c r="Z4206" s="1060"/>
    </row>
    <row r="4207" spans="25:26">
      <c r="Y4207" s="1354"/>
      <c r="Z4207" s="1060"/>
    </row>
    <row r="4208" spans="25:26">
      <c r="Y4208" s="1354"/>
      <c r="Z4208" s="1060"/>
    </row>
    <row r="4209" spans="25:26">
      <c r="Y4209" s="1354"/>
      <c r="Z4209" s="1060"/>
    </row>
    <row r="4210" spans="25:26">
      <c r="Y4210" s="1354"/>
      <c r="Z4210" s="1060"/>
    </row>
    <row r="4211" spans="25:26">
      <c r="Y4211" s="1354"/>
      <c r="Z4211" s="1060"/>
    </row>
    <row r="4212" spans="25:26">
      <c r="Y4212" s="1354"/>
      <c r="Z4212" s="1060"/>
    </row>
    <row r="4213" spans="25:26">
      <c r="Y4213" s="1354"/>
      <c r="Z4213" s="1060"/>
    </row>
    <row r="4214" spans="25:26">
      <c r="Y4214" s="1354"/>
      <c r="Z4214" s="1060"/>
    </row>
    <row r="4215" spans="25:26">
      <c r="Y4215" s="1354"/>
      <c r="Z4215" s="1060"/>
    </row>
    <row r="4216" spans="25:26">
      <c r="Y4216" s="1354"/>
      <c r="Z4216" s="1060"/>
    </row>
    <row r="4217" spans="25:26">
      <c r="Y4217" s="1354"/>
      <c r="Z4217" s="1060"/>
    </row>
    <row r="4218" spans="25:26">
      <c r="Y4218" s="1354"/>
      <c r="Z4218" s="1060"/>
    </row>
    <row r="4219" spans="25:26">
      <c r="Y4219" s="1354"/>
      <c r="Z4219" s="1060"/>
    </row>
    <row r="4220" spans="25:26">
      <c r="Y4220" s="1354"/>
      <c r="Z4220" s="1060"/>
    </row>
    <row r="4221" spans="25:26">
      <c r="Y4221" s="1354"/>
      <c r="Z4221" s="1060"/>
    </row>
    <row r="4222" spans="25:26">
      <c r="Y4222" s="1354"/>
      <c r="Z4222" s="1060"/>
    </row>
    <row r="4223" spans="25:26">
      <c r="Y4223" s="1354"/>
      <c r="Z4223" s="1060"/>
    </row>
    <row r="4224" spans="25:26">
      <c r="Y4224" s="1354"/>
      <c r="Z4224" s="1060"/>
    </row>
    <row r="4225" spans="25:26">
      <c r="Y4225" s="1354"/>
      <c r="Z4225" s="1060"/>
    </row>
    <row r="4226" spans="25:26">
      <c r="Y4226" s="1354"/>
      <c r="Z4226" s="1060"/>
    </row>
    <row r="4227" spans="25:26">
      <c r="Y4227" s="1354"/>
      <c r="Z4227" s="1060"/>
    </row>
    <row r="4228" spans="25:26">
      <c r="Y4228" s="1354"/>
      <c r="Z4228" s="1060"/>
    </row>
    <row r="4229" spans="25:26">
      <c r="Y4229" s="1354"/>
      <c r="Z4229" s="1060"/>
    </row>
    <row r="4230" spans="25:26">
      <c r="Y4230" s="1354"/>
      <c r="Z4230" s="1060"/>
    </row>
    <row r="4231" spans="25:26">
      <c r="Y4231" s="1354"/>
      <c r="Z4231" s="1060"/>
    </row>
    <row r="4232" spans="25:26">
      <c r="Y4232" s="1354"/>
      <c r="Z4232" s="1060"/>
    </row>
    <row r="4233" spans="25:26">
      <c r="Y4233" s="1354"/>
      <c r="Z4233" s="1060"/>
    </row>
    <row r="4234" spans="25:26">
      <c r="Y4234" s="1354"/>
      <c r="Z4234" s="1060"/>
    </row>
    <row r="4235" spans="25:26">
      <c r="Y4235" s="1354"/>
      <c r="Z4235" s="1060"/>
    </row>
    <row r="4236" spans="25:26">
      <c r="Y4236" s="1354"/>
      <c r="Z4236" s="1060"/>
    </row>
    <row r="4237" spans="25:26">
      <c r="Y4237" s="1354"/>
      <c r="Z4237" s="1060"/>
    </row>
    <row r="4238" spans="25:26">
      <c r="Y4238" s="1354"/>
      <c r="Z4238" s="1060"/>
    </row>
    <row r="4239" spans="25:26">
      <c r="Y4239" s="1354"/>
      <c r="Z4239" s="1060"/>
    </row>
    <row r="4240" spans="25:26">
      <c r="Y4240" s="1354"/>
      <c r="Z4240" s="1060"/>
    </row>
    <row r="4241" spans="25:26">
      <c r="Y4241" s="1354"/>
      <c r="Z4241" s="1060"/>
    </row>
    <row r="4242" spans="25:26">
      <c r="Y4242" s="1354"/>
      <c r="Z4242" s="1060"/>
    </row>
    <row r="4243" spans="25:26">
      <c r="Y4243" s="1354"/>
      <c r="Z4243" s="1060"/>
    </row>
    <row r="4244" spans="25:26">
      <c r="Y4244" s="1354"/>
      <c r="Z4244" s="1060"/>
    </row>
    <row r="4245" spans="25:26">
      <c r="Y4245" s="1354"/>
      <c r="Z4245" s="1060"/>
    </row>
    <row r="4246" spans="25:26">
      <c r="Y4246" s="1354"/>
      <c r="Z4246" s="1060"/>
    </row>
    <row r="4247" spans="25:26">
      <c r="Y4247" s="1354"/>
      <c r="Z4247" s="1060"/>
    </row>
    <row r="4248" spans="25:26">
      <c r="Y4248" s="1354"/>
      <c r="Z4248" s="1060"/>
    </row>
    <row r="4249" spans="25:26">
      <c r="Y4249" s="1354"/>
      <c r="Z4249" s="1060"/>
    </row>
    <row r="4250" spans="25:26">
      <c r="Y4250" s="1354"/>
      <c r="Z4250" s="1060"/>
    </row>
    <row r="4251" spans="25:26">
      <c r="Y4251" s="1354"/>
      <c r="Z4251" s="1060"/>
    </row>
    <row r="4252" spans="25:26">
      <c r="Y4252" s="1354"/>
      <c r="Z4252" s="1060"/>
    </row>
    <row r="4253" spans="25:26">
      <c r="Y4253" s="1354"/>
      <c r="Z4253" s="1060"/>
    </row>
    <row r="4254" spans="25:26">
      <c r="Y4254" s="1354"/>
      <c r="Z4254" s="1060"/>
    </row>
    <row r="4255" spans="25:26">
      <c r="Y4255" s="1354"/>
      <c r="Z4255" s="1060"/>
    </row>
    <row r="4256" spans="25:26">
      <c r="Y4256" s="1354"/>
      <c r="Z4256" s="1060"/>
    </row>
    <row r="4257" spans="25:26">
      <c r="Y4257" s="1354"/>
      <c r="Z4257" s="1060"/>
    </row>
    <row r="4258" spans="25:26">
      <c r="Y4258" s="1354"/>
      <c r="Z4258" s="1060"/>
    </row>
    <row r="4259" spans="25:26">
      <c r="Y4259" s="1354"/>
      <c r="Z4259" s="1060"/>
    </row>
    <row r="4260" spans="25:26">
      <c r="Y4260" s="1354"/>
      <c r="Z4260" s="1060"/>
    </row>
    <row r="4261" spans="25:26">
      <c r="Y4261" s="1354"/>
      <c r="Z4261" s="1060"/>
    </row>
    <row r="4262" spans="25:26">
      <c r="Y4262" s="1354"/>
      <c r="Z4262" s="1060"/>
    </row>
    <row r="4263" spans="25:26">
      <c r="Y4263" s="1354"/>
      <c r="Z4263" s="1060"/>
    </row>
    <row r="4264" spans="25:26">
      <c r="Y4264" s="1354"/>
      <c r="Z4264" s="1060"/>
    </row>
    <row r="4265" spans="25:26">
      <c r="Y4265" s="1354"/>
      <c r="Z4265" s="1060"/>
    </row>
    <row r="4266" spans="25:26">
      <c r="Y4266" s="1354"/>
      <c r="Z4266" s="1060"/>
    </row>
    <row r="4267" spans="25:26">
      <c r="Y4267" s="1354"/>
      <c r="Z4267" s="1060"/>
    </row>
    <row r="4268" spans="25:26">
      <c r="Y4268" s="1354"/>
      <c r="Z4268" s="1060"/>
    </row>
    <row r="4269" spans="25:26">
      <c r="Y4269" s="1354"/>
      <c r="Z4269" s="1060"/>
    </row>
    <row r="4270" spans="25:26">
      <c r="Y4270" s="1354"/>
      <c r="Z4270" s="1060"/>
    </row>
    <row r="4271" spans="25:26">
      <c r="Y4271" s="1354"/>
      <c r="Z4271" s="1060"/>
    </row>
    <row r="4272" spans="25:26">
      <c r="Y4272" s="1354"/>
      <c r="Z4272" s="1060"/>
    </row>
    <row r="4273" spans="25:26">
      <c r="Y4273" s="1354"/>
      <c r="Z4273" s="1060"/>
    </row>
    <row r="4274" spans="25:26">
      <c r="Y4274" s="1354"/>
      <c r="Z4274" s="1060"/>
    </row>
    <row r="4275" spans="25:26">
      <c r="Y4275" s="1354"/>
      <c r="Z4275" s="1060"/>
    </row>
    <row r="4276" spans="25:26">
      <c r="Y4276" s="1354"/>
      <c r="Z4276" s="1060"/>
    </row>
    <row r="4277" spans="25:26">
      <c r="Y4277" s="1354"/>
      <c r="Z4277" s="1060"/>
    </row>
    <row r="4278" spans="25:26">
      <c r="Y4278" s="1354"/>
      <c r="Z4278" s="1060"/>
    </row>
    <row r="4279" spans="25:26">
      <c r="Y4279" s="1354"/>
      <c r="Z4279" s="1060"/>
    </row>
    <row r="4280" spans="25:26">
      <c r="Y4280" s="1354"/>
      <c r="Z4280" s="1060"/>
    </row>
    <row r="4281" spans="25:26">
      <c r="Y4281" s="1354"/>
      <c r="Z4281" s="1060"/>
    </row>
    <row r="4282" spans="25:26">
      <c r="Y4282" s="1354"/>
      <c r="Z4282" s="1060"/>
    </row>
    <row r="4283" spans="25:26">
      <c r="Y4283" s="1354"/>
      <c r="Z4283" s="1060"/>
    </row>
    <row r="4284" spans="25:26">
      <c r="Y4284" s="1354"/>
      <c r="Z4284" s="1060"/>
    </row>
    <row r="4285" spans="25:26">
      <c r="Y4285" s="1354"/>
      <c r="Z4285" s="1060"/>
    </row>
    <row r="4286" spans="25:26">
      <c r="Y4286" s="1354"/>
      <c r="Z4286" s="1060"/>
    </row>
    <row r="4287" spans="25:26">
      <c r="Y4287" s="1354"/>
      <c r="Z4287" s="1060"/>
    </row>
    <row r="4288" spans="25:26">
      <c r="Y4288" s="1354"/>
      <c r="Z4288" s="1060"/>
    </row>
    <row r="4289" spans="25:26">
      <c r="Y4289" s="1354"/>
      <c r="Z4289" s="1060"/>
    </row>
    <row r="4290" spans="25:26">
      <c r="Y4290" s="1354"/>
      <c r="Z4290" s="1060"/>
    </row>
    <row r="4291" spans="25:26">
      <c r="Y4291" s="1354"/>
      <c r="Z4291" s="1060"/>
    </row>
    <row r="4292" spans="25:26">
      <c r="Y4292" s="1354"/>
      <c r="Z4292" s="1060"/>
    </row>
    <row r="4293" spans="25:26">
      <c r="Y4293" s="1354"/>
      <c r="Z4293" s="1060"/>
    </row>
    <row r="4294" spans="25:26">
      <c r="Y4294" s="1354"/>
      <c r="Z4294" s="1060"/>
    </row>
    <row r="4295" spans="25:26">
      <c r="Y4295" s="1354"/>
      <c r="Z4295" s="1060"/>
    </row>
    <row r="4296" spans="25:26">
      <c r="Y4296" s="1354"/>
      <c r="Z4296" s="1060"/>
    </row>
    <row r="4297" spans="25:26">
      <c r="Y4297" s="1354"/>
      <c r="Z4297" s="1060"/>
    </row>
    <row r="4298" spans="25:26">
      <c r="Y4298" s="1354"/>
      <c r="Z4298" s="1060"/>
    </row>
    <row r="4299" spans="25:26">
      <c r="Y4299" s="1354"/>
      <c r="Z4299" s="1060"/>
    </row>
    <row r="4300" spans="25:26">
      <c r="Y4300" s="1354"/>
      <c r="Z4300" s="1060"/>
    </row>
    <row r="4301" spans="25:26">
      <c r="Y4301" s="1354"/>
      <c r="Z4301" s="1060"/>
    </row>
    <row r="4302" spans="25:26">
      <c r="Y4302" s="1354"/>
      <c r="Z4302" s="1060"/>
    </row>
    <row r="4303" spans="25:26">
      <c r="Y4303" s="1354"/>
      <c r="Z4303" s="1060"/>
    </row>
    <row r="4304" spans="25:26">
      <c r="Y4304" s="1354"/>
      <c r="Z4304" s="1060"/>
    </row>
    <row r="4305" spans="25:26">
      <c r="Y4305" s="1354"/>
      <c r="Z4305" s="1060"/>
    </row>
    <row r="4306" spans="25:26">
      <c r="Y4306" s="1354"/>
      <c r="Z4306" s="1060"/>
    </row>
    <row r="4307" spans="25:26">
      <c r="Y4307" s="1354"/>
      <c r="Z4307" s="1060"/>
    </row>
    <row r="4308" spans="25:26">
      <c r="Y4308" s="1354"/>
      <c r="Z4308" s="1060"/>
    </row>
    <row r="4309" spans="25:26">
      <c r="Y4309" s="1354"/>
      <c r="Z4309" s="1060"/>
    </row>
    <row r="4310" spans="25:26">
      <c r="Y4310" s="1354"/>
      <c r="Z4310" s="1060"/>
    </row>
    <row r="4311" spans="25:26">
      <c r="Y4311" s="1354"/>
      <c r="Z4311" s="1060"/>
    </row>
    <row r="4312" spans="25:26">
      <c r="Y4312" s="1354"/>
      <c r="Z4312" s="1060"/>
    </row>
    <row r="4313" spans="25:26">
      <c r="Y4313" s="1354"/>
      <c r="Z4313" s="1060"/>
    </row>
    <row r="4314" spans="25:26">
      <c r="Y4314" s="1354"/>
      <c r="Z4314" s="1060"/>
    </row>
    <row r="4315" spans="25:26">
      <c r="Y4315" s="1354"/>
      <c r="Z4315" s="1060"/>
    </row>
    <row r="4316" spans="25:26">
      <c r="Y4316" s="1354"/>
      <c r="Z4316" s="1060"/>
    </row>
    <row r="4317" spans="25:26">
      <c r="Y4317" s="1354"/>
      <c r="Z4317" s="1060"/>
    </row>
    <row r="4318" spans="25:26">
      <c r="Y4318" s="1354"/>
      <c r="Z4318" s="1060"/>
    </row>
    <row r="4319" spans="25:26">
      <c r="Y4319" s="1354"/>
      <c r="Z4319" s="1060"/>
    </row>
    <row r="4320" spans="25:26">
      <c r="Y4320" s="1354"/>
      <c r="Z4320" s="1060"/>
    </row>
    <row r="4321" spans="25:26">
      <c r="Y4321" s="1354"/>
      <c r="Z4321" s="1060"/>
    </row>
    <row r="4322" spans="25:26">
      <c r="Y4322" s="1354"/>
      <c r="Z4322" s="1060"/>
    </row>
    <row r="4323" spans="25:26">
      <c r="Y4323" s="1354"/>
      <c r="Z4323" s="1060"/>
    </row>
    <row r="4324" spans="25:26">
      <c r="Y4324" s="1354"/>
      <c r="Z4324" s="1060"/>
    </row>
    <row r="4325" spans="25:26">
      <c r="Y4325" s="1354"/>
      <c r="Z4325" s="1060"/>
    </row>
    <row r="4326" spans="25:26">
      <c r="Y4326" s="1354"/>
      <c r="Z4326" s="1060"/>
    </row>
    <row r="4327" spans="25:26">
      <c r="Y4327" s="1354"/>
      <c r="Z4327" s="1060"/>
    </row>
    <row r="4328" spans="25:26">
      <c r="Y4328" s="1354"/>
      <c r="Z4328" s="1060"/>
    </row>
    <row r="4329" spans="25:26">
      <c r="Y4329" s="1354"/>
      <c r="Z4329" s="1060"/>
    </row>
    <row r="4330" spans="25:26">
      <c r="Y4330" s="1354"/>
      <c r="Z4330" s="1060"/>
    </row>
    <row r="4331" spans="25:26">
      <c r="Y4331" s="1354"/>
      <c r="Z4331" s="1060"/>
    </row>
    <row r="4332" spans="25:26">
      <c r="Y4332" s="1354"/>
      <c r="Z4332" s="1060"/>
    </row>
    <row r="4333" spans="25:26">
      <c r="Y4333" s="1354"/>
      <c r="Z4333" s="1060"/>
    </row>
    <row r="4334" spans="25:26">
      <c r="Y4334" s="1354"/>
      <c r="Z4334" s="1060"/>
    </row>
    <row r="4335" spans="25:26">
      <c r="Y4335" s="1354"/>
      <c r="Z4335" s="1060"/>
    </row>
    <row r="4336" spans="25:26">
      <c r="Y4336" s="1354"/>
      <c r="Z4336" s="1060"/>
    </row>
    <row r="4337" spans="25:26">
      <c r="Y4337" s="1354"/>
      <c r="Z4337" s="1060"/>
    </row>
    <row r="4338" spans="25:26">
      <c r="Y4338" s="1354"/>
      <c r="Z4338" s="1060"/>
    </row>
    <row r="4339" spans="25:26">
      <c r="Y4339" s="1354"/>
      <c r="Z4339" s="1060"/>
    </row>
    <row r="4340" spans="25:26">
      <c r="Y4340" s="1354"/>
      <c r="Z4340" s="1060"/>
    </row>
    <row r="4341" spans="25:26">
      <c r="Y4341" s="1354"/>
      <c r="Z4341" s="1060"/>
    </row>
    <row r="4342" spans="25:26">
      <c r="Y4342" s="1354"/>
      <c r="Z4342" s="1060"/>
    </row>
    <row r="4343" spans="25:26">
      <c r="Y4343" s="1354"/>
      <c r="Z4343" s="1060"/>
    </row>
    <row r="4344" spans="25:26">
      <c r="Y4344" s="1354"/>
      <c r="Z4344" s="1060"/>
    </row>
    <row r="4345" spans="25:26">
      <c r="Y4345" s="1354"/>
      <c r="Z4345" s="1060"/>
    </row>
    <row r="4346" spans="25:26">
      <c r="Y4346" s="1354"/>
      <c r="Z4346" s="1060"/>
    </row>
    <row r="4347" spans="25:26">
      <c r="Y4347" s="1354"/>
      <c r="Z4347" s="1060"/>
    </row>
    <row r="4348" spans="25:26">
      <c r="Y4348" s="1354"/>
      <c r="Z4348" s="1060"/>
    </row>
    <row r="4349" spans="25:26">
      <c r="Y4349" s="1354"/>
      <c r="Z4349" s="1060"/>
    </row>
    <row r="4350" spans="25:26">
      <c r="Y4350" s="1354"/>
      <c r="Z4350" s="1060"/>
    </row>
    <row r="4351" spans="25:26">
      <c r="Y4351" s="1354"/>
      <c r="Z4351" s="1060"/>
    </row>
    <row r="4352" spans="25:26">
      <c r="Y4352" s="1354"/>
      <c r="Z4352" s="1060"/>
    </row>
    <row r="4353" spans="25:26">
      <c r="Y4353" s="1354"/>
      <c r="Z4353" s="1060"/>
    </row>
    <row r="4354" spans="25:26">
      <c r="Y4354" s="1354"/>
      <c r="Z4354" s="1060"/>
    </row>
    <row r="4355" spans="25:26">
      <c r="Y4355" s="1354"/>
      <c r="Z4355" s="1060"/>
    </row>
    <row r="4356" spans="25:26">
      <c r="Y4356" s="1354"/>
      <c r="Z4356" s="1060"/>
    </row>
    <row r="4357" spans="25:26">
      <c r="Y4357" s="1354"/>
      <c r="Z4357" s="1060"/>
    </row>
    <row r="4358" spans="25:26">
      <c r="Y4358" s="1354"/>
      <c r="Z4358" s="1060"/>
    </row>
    <row r="4359" spans="25:26">
      <c r="Y4359" s="1354"/>
      <c r="Z4359" s="1060"/>
    </row>
    <row r="4360" spans="25:26">
      <c r="Y4360" s="1354"/>
      <c r="Z4360" s="1060"/>
    </row>
    <row r="4361" spans="25:26">
      <c r="Y4361" s="1354"/>
      <c r="Z4361" s="1060"/>
    </row>
    <row r="4362" spans="25:26">
      <c r="Y4362" s="1354"/>
      <c r="Z4362" s="1060"/>
    </row>
    <row r="4363" spans="25:26">
      <c r="Y4363" s="1354"/>
      <c r="Z4363" s="1060"/>
    </row>
    <row r="4364" spans="25:26">
      <c r="Y4364" s="1354"/>
      <c r="Z4364" s="1060"/>
    </row>
    <row r="4365" spans="25:26">
      <c r="Y4365" s="1354"/>
      <c r="Z4365" s="1060"/>
    </row>
    <row r="4366" spans="25:26">
      <c r="Y4366" s="1354"/>
      <c r="Z4366" s="1060"/>
    </row>
    <row r="4367" spans="25:26">
      <c r="Y4367" s="1354"/>
      <c r="Z4367" s="1060"/>
    </row>
    <row r="4368" spans="25:26">
      <c r="Y4368" s="1354"/>
      <c r="Z4368" s="1060"/>
    </row>
    <row r="4369" spans="25:26">
      <c r="Y4369" s="1354"/>
      <c r="Z4369" s="1060"/>
    </row>
    <row r="4370" spans="25:26">
      <c r="Y4370" s="1354"/>
      <c r="Z4370" s="1060"/>
    </row>
    <row r="4371" spans="25:26">
      <c r="Y4371" s="1354"/>
      <c r="Z4371" s="1060"/>
    </row>
    <row r="4372" spans="25:26">
      <c r="Y4372" s="1354"/>
      <c r="Z4372" s="1060"/>
    </row>
    <row r="4373" spans="25:26">
      <c r="Y4373" s="1354"/>
      <c r="Z4373" s="1060"/>
    </row>
    <row r="4374" spans="25:26">
      <c r="Y4374" s="1354"/>
      <c r="Z4374" s="1060"/>
    </row>
    <row r="4375" spans="25:26">
      <c r="Y4375" s="1354"/>
      <c r="Z4375" s="1060"/>
    </row>
    <row r="4376" spans="25:26">
      <c r="Y4376" s="1354"/>
      <c r="Z4376" s="1060"/>
    </row>
    <row r="4377" spans="25:26">
      <c r="Y4377" s="1354"/>
      <c r="Z4377" s="1060"/>
    </row>
    <row r="4378" spans="25:26">
      <c r="Y4378" s="1354"/>
      <c r="Z4378" s="1060"/>
    </row>
    <row r="4379" spans="25:26">
      <c r="Y4379" s="1354"/>
      <c r="Z4379" s="1060"/>
    </row>
    <row r="4380" spans="25:26">
      <c r="Y4380" s="1354"/>
      <c r="Z4380" s="1060"/>
    </row>
    <row r="4381" spans="25:26">
      <c r="Y4381" s="1354"/>
      <c r="Z4381" s="1060"/>
    </row>
    <row r="4382" spans="25:26">
      <c r="Y4382" s="1354"/>
      <c r="Z4382" s="1060"/>
    </row>
    <row r="4383" spans="25:26">
      <c r="Y4383" s="1354"/>
      <c r="Z4383" s="1060"/>
    </row>
    <row r="4384" spans="25:26">
      <c r="Y4384" s="1354"/>
      <c r="Z4384" s="1060"/>
    </row>
    <row r="4385" spans="25:26">
      <c r="Y4385" s="1354"/>
      <c r="Z4385" s="1060"/>
    </row>
    <row r="4386" spans="25:26">
      <c r="Y4386" s="1354"/>
      <c r="Z4386" s="1060"/>
    </row>
    <row r="4387" spans="25:26">
      <c r="Y4387" s="1354"/>
      <c r="Z4387" s="1060"/>
    </row>
    <row r="4388" spans="25:26">
      <c r="Y4388" s="1354"/>
      <c r="Z4388" s="1060"/>
    </row>
    <row r="4389" spans="25:26">
      <c r="Y4389" s="1354"/>
      <c r="Z4389" s="1060"/>
    </row>
    <row r="4390" spans="25:26">
      <c r="Y4390" s="1354"/>
      <c r="Z4390" s="1060"/>
    </row>
    <row r="4391" spans="25:26">
      <c r="Y4391" s="1354"/>
      <c r="Z4391" s="1060"/>
    </row>
    <row r="4392" spans="25:26">
      <c r="Y4392" s="1354"/>
      <c r="Z4392" s="1060"/>
    </row>
    <row r="4393" spans="25:26">
      <c r="Y4393" s="1354"/>
      <c r="Z4393" s="1060"/>
    </row>
    <row r="4394" spans="25:26">
      <c r="Y4394" s="1354"/>
      <c r="Z4394" s="1060"/>
    </row>
    <row r="4395" spans="25:26">
      <c r="Y4395" s="1354"/>
      <c r="Z4395" s="1060"/>
    </row>
    <row r="4396" spans="25:26">
      <c r="Y4396" s="1354"/>
      <c r="Z4396" s="1060"/>
    </row>
    <row r="4397" spans="25:26">
      <c r="Y4397" s="1354"/>
      <c r="Z4397" s="1060"/>
    </row>
    <row r="4398" spans="25:26">
      <c r="Y4398" s="1354"/>
      <c r="Z4398" s="1060"/>
    </row>
    <row r="4399" spans="25:26">
      <c r="Y4399" s="1354"/>
      <c r="Z4399" s="1060"/>
    </row>
    <row r="4400" spans="25:26">
      <c r="Y4400" s="1354"/>
      <c r="Z4400" s="1060"/>
    </row>
    <row r="4401" spans="25:26">
      <c r="Y4401" s="1354"/>
      <c r="Z4401" s="1060"/>
    </row>
    <row r="4402" spans="25:26">
      <c r="Y4402" s="1354"/>
      <c r="Z4402" s="1060"/>
    </row>
    <row r="4403" spans="25:26">
      <c r="Y4403" s="1354"/>
      <c r="Z4403" s="1060"/>
    </row>
    <row r="4404" spans="25:26">
      <c r="Y4404" s="1354"/>
      <c r="Z4404" s="1060"/>
    </row>
    <row r="4405" spans="25:26">
      <c r="Y4405" s="1354"/>
      <c r="Z4405" s="1060"/>
    </row>
    <row r="4406" spans="25:26">
      <c r="Y4406" s="1354"/>
      <c r="Z4406" s="1060"/>
    </row>
    <row r="4407" spans="25:26">
      <c r="Y4407" s="1354"/>
      <c r="Z4407" s="1060"/>
    </row>
    <row r="4408" spans="25:26">
      <c r="Y4408" s="1354"/>
      <c r="Z4408" s="1060"/>
    </row>
    <row r="4409" spans="25:26">
      <c r="Y4409" s="1354"/>
      <c r="Z4409" s="1060"/>
    </row>
    <row r="4410" spans="25:26">
      <c r="Y4410" s="1354"/>
      <c r="Z4410" s="1060"/>
    </row>
    <row r="4411" spans="25:26">
      <c r="Y4411" s="1354"/>
      <c r="Z4411" s="1060"/>
    </row>
    <row r="4412" spans="25:26">
      <c r="Y4412" s="1354"/>
      <c r="Z4412" s="1060"/>
    </row>
    <row r="4413" spans="25:26">
      <c r="Y4413" s="1354"/>
      <c r="Z4413" s="1060"/>
    </row>
    <row r="4414" spans="25:26">
      <c r="Y4414" s="1354"/>
      <c r="Z4414" s="1060"/>
    </row>
    <row r="4415" spans="25:26">
      <c r="Y4415" s="1354"/>
      <c r="Z4415" s="1060"/>
    </row>
    <row r="4416" spans="25:26">
      <c r="Y4416" s="1354"/>
      <c r="Z4416" s="1060"/>
    </row>
    <row r="4417" spans="25:26">
      <c r="Y4417" s="1354"/>
      <c r="Z4417" s="1060"/>
    </row>
    <row r="4418" spans="25:26">
      <c r="Y4418" s="1354"/>
      <c r="Z4418" s="1060"/>
    </row>
    <row r="4419" spans="25:26">
      <c r="Y4419" s="1354"/>
      <c r="Z4419" s="1060"/>
    </row>
    <row r="4420" spans="25:26">
      <c r="Y4420" s="1354"/>
      <c r="Z4420" s="1060"/>
    </row>
    <row r="4421" spans="25:26">
      <c r="Y4421" s="1354"/>
      <c r="Z4421" s="1060"/>
    </row>
    <row r="4422" spans="25:26">
      <c r="Y4422" s="1354"/>
      <c r="Z4422" s="1060"/>
    </row>
    <row r="4423" spans="25:26">
      <c r="Y4423" s="1354"/>
      <c r="Z4423" s="1060"/>
    </row>
    <row r="4424" spans="25:26">
      <c r="Y4424" s="1354"/>
      <c r="Z4424" s="1060"/>
    </row>
    <row r="4425" spans="25:26">
      <c r="Y4425" s="1354"/>
      <c r="Z4425" s="1060"/>
    </row>
    <row r="4426" spans="25:26">
      <c r="Y4426" s="1354"/>
      <c r="Z4426" s="1060"/>
    </row>
    <row r="4427" spans="25:26">
      <c r="Y4427" s="1354"/>
      <c r="Z4427" s="1060"/>
    </row>
    <row r="4428" spans="25:26">
      <c r="Y4428" s="1354"/>
      <c r="Z4428" s="1060"/>
    </row>
    <row r="4429" spans="25:26">
      <c r="Y4429" s="1354"/>
      <c r="Z4429" s="1060"/>
    </row>
    <row r="4430" spans="25:26">
      <c r="Y4430" s="1354"/>
      <c r="Z4430" s="1060"/>
    </row>
    <row r="4431" spans="25:26">
      <c r="Y4431" s="1354"/>
      <c r="Z4431" s="1060"/>
    </row>
    <row r="4432" spans="25:26">
      <c r="Y4432" s="1354"/>
      <c r="Z4432" s="1060"/>
    </row>
    <row r="4433" spans="25:26">
      <c r="Y4433" s="1354"/>
      <c r="Z4433" s="1060"/>
    </row>
    <row r="4434" spans="25:26">
      <c r="Y4434" s="1354"/>
      <c r="Z4434" s="1060"/>
    </row>
    <row r="4435" spans="25:26">
      <c r="Y4435" s="1354"/>
      <c r="Z4435" s="1060"/>
    </row>
    <row r="4436" spans="25:26">
      <c r="Y4436" s="1354"/>
      <c r="Z4436" s="1060"/>
    </row>
    <row r="4437" spans="25:26">
      <c r="Y4437" s="1354"/>
      <c r="Z4437" s="1060"/>
    </row>
    <row r="4438" spans="25:26">
      <c r="Y4438" s="1354"/>
      <c r="Z4438" s="1060"/>
    </row>
    <row r="4439" spans="25:26">
      <c r="Y4439" s="1354"/>
      <c r="Z4439" s="1060"/>
    </row>
    <row r="4440" spans="25:26">
      <c r="Y4440" s="1354"/>
      <c r="Z4440" s="1060"/>
    </row>
    <row r="4441" spans="25:26">
      <c r="Y4441" s="1354"/>
      <c r="Z4441" s="1060"/>
    </row>
    <row r="4442" spans="25:26">
      <c r="Y4442" s="1354"/>
      <c r="Z4442" s="1060"/>
    </row>
    <row r="4443" spans="25:26">
      <c r="Y4443" s="1354"/>
      <c r="Z4443" s="1060"/>
    </row>
    <row r="4444" spans="25:26">
      <c r="Y4444" s="1354"/>
      <c r="Z4444" s="1060"/>
    </row>
    <row r="4445" spans="25:26">
      <c r="Y4445" s="1354"/>
      <c r="Z4445" s="1060"/>
    </row>
    <row r="4446" spans="25:26">
      <c r="Y4446" s="1354"/>
      <c r="Z4446" s="1060"/>
    </row>
    <row r="4447" spans="25:26">
      <c r="Y4447" s="1354"/>
      <c r="Z4447" s="1060"/>
    </row>
    <row r="4448" spans="25:26">
      <c r="Y4448" s="1354"/>
      <c r="Z4448" s="1060"/>
    </row>
    <row r="4449" spans="25:26">
      <c r="Y4449" s="1354"/>
      <c r="Z4449" s="1060"/>
    </row>
    <row r="4450" spans="25:26">
      <c r="Y4450" s="1354"/>
      <c r="Z4450" s="1060"/>
    </row>
    <row r="4451" spans="25:26">
      <c r="Y4451" s="1354"/>
      <c r="Z4451" s="1060"/>
    </row>
    <row r="4452" spans="25:26">
      <c r="Y4452" s="1354"/>
      <c r="Z4452" s="1060"/>
    </row>
    <row r="4453" spans="25:26">
      <c r="Y4453" s="1354"/>
      <c r="Z4453" s="1060"/>
    </row>
    <row r="4454" spans="25:26">
      <c r="Y4454" s="1354"/>
      <c r="Z4454" s="1060"/>
    </row>
    <row r="4455" spans="25:26">
      <c r="Y4455" s="1354"/>
      <c r="Z4455" s="1060"/>
    </row>
    <row r="4456" spans="25:26">
      <c r="Y4456" s="1354"/>
      <c r="Z4456" s="1060"/>
    </row>
    <row r="4457" spans="25:26">
      <c r="Y4457" s="1354"/>
      <c r="Z4457" s="1060"/>
    </row>
    <row r="4458" spans="25:26">
      <c r="Y4458" s="1354"/>
      <c r="Z4458" s="1060"/>
    </row>
    <row r="4459" spans="25:26">
      <c r="Y4459" s="1354"/>
      <c r="Z4459" s="1060"/>
    </row>
    <row r="4460" spans="25:26">
      <c r="Y4460" s="1354"/>
      <c r="Z4460" s="1060"/>
    </row>
    <row r="4461" spans="25:26">
      <c r="Y4461" s="1354"/>
      <c r="Z4461" s="1060"/>
    </row>
    <row r="4462" spans="25:26">
      <c r="Y4462" s="1354"/>
      <c r="Z4462" s="1060"/>
    </row>
    <row r="4463" spans="25:26">
      <c r="Y4463" s="1354"/>
      <c r="Z4463" s="1060"/>
    </row>
    <row r="4464" spans="25:26">
      <c r="Y4464" s="1354"/>
      <c r="Z4464" s="1060"/>
    </row>
    <row r="4465" spans="25:26">
      <c r="Y4465" s="1354"/>
      <c r="Z4465" s="1060"/>
    </row>
    <row r="4466" spans="25:26">
      <c r="Y4466" s="1354"/>
      <c r="Z4466" s="1060"/>
    </row>
    <row r="4467" spans="25:26">
      <c r="Y4467" s="1354"/>
      <c r="Z4467" s="1060"/>
    </row>
    <row r="4468" spans="25:26">
      <c r="Y4468" s="1354"/>
      <c r="Z4468" s="1060"/>
    </row>
    <row r="4469" spans="25:26">
      <c r="Y4469" s="1354"/>
      <c r="Z4469" s="1060"/>
    </row>
    <row r="4470" spans="25:26">
      <c r="Y4470" s="1354"/>
      <c r="Z4470" s="1060"/>
    </row>
    <row r="4471" spans="25:26">
      <c r="Y4471" s="1354"/>
      <c r="Z4471" s="1060"/>
    </row>
    <row r="4472" spans="25:26">
      <c r="Y4472" s="1354"/>
      <c r="Z4472" s="1060"/>
    </row>
    <row r="4473" spans="25:26">
      <c r="Y4473" s="1354"/>
      <c r="Z4473" s="1060"/>
    </row>
    <row r="4474" spans="25:26">
      <c r="Y4474" s="1354"/>
      <c r="Z4474" s="1060"/>
    </row>
    <row r="4475" spans="25:26">
      <c r="Y4475" s="1354"/>
      <c r="Z4475" s="1060"/>
    </row>
    <row r="4476" spans="25:26">
      <c r="Y4476" s="1354"/>
      <c r="Z4476" s="1060"/>
    </row>
    <row r="4477" spans="25:26">
      <c r="Y4477" s="1354"/>
      <c r="Z4477" s="1060"/>
    </row>
    <row r="4478" spans="25:26">
      <c r="Y4478" s="1354"/>
      <c r="Z4478" s="1060"/>
    </row>
    <row r="4479" spans="25:26">
      <c r="Y4479" s="1354"/>
      <c r="Z4479" s="1060"/>
    </row>
    <row r="4480" spans="25:26">
      <c r="Y4480" s="1354"/>
      <c r="Z4480" s="1060"/>
    </row>
    <row r="4481" spans="25:26">
      <c r="Y4481" s="1354"/>
      <c r="Z4481" s="1060"/>
    </row>
    <row r="4482" spans="25:26">
      <c r="Y4482" s="1354"/>
      <c r="Z4482" s="1060"/>
    </row>
    <row r="4483" spans="25:26">
      <c r="Y4483" s="1354"/>
      <c r="Z4483" s="1060"/>
    </row>
    <row r="4484" spans="25:26">
      <c r="Y4484" s="1354"/>
      <c r="Z4484" s="1060"/>
    </row>
    <row r="4485" spans="25:26">
      <c r="Y4485" s="1354"/>
      <c r="Z4485" s="1060"/>
    </row>
    <row r="4486" spans="25:26">
      <c r="Y4486" s="1354"/>
      <c r="Z4486" s="1060"/>
    </row>
    <row r="4487" spans="25:26">
      <c r="Y4487" s="1354"/>
      <c r="Z4487" s="1060"/>
    </row>
    <row r="4488" spans="25:26">
      <c r="Y4488" s="1354"/>
      <c r="Z4488" s="1060"/>
    </row>
    <row r="4489" spans="25:26">
      <c r="Y4489" s="1354"/>
      <c r="Z4489" s="1060"/>
    </row>
    <row r="4490" spans="25:26">
      <c r="Y4490" s="1354"/>
      <c r="Z4490" s="1060"/>
    </row>
    <row r="4491" spans="25:26">
      <c r="Y4491" s="1354"/>
      <c r="Z4491" s="1060"/>
    </row>
    <row r="4492" spans="25:26">
      <c r="Y4492" s="1354"/>
      <c r="Z4492" s="1060"/>
    </row>
    <row r="4493" spans="25:26">
      <c r="Y4493" s="1354"/>
      <c r="Z4493" s="1060"/>
    </row>
    <row r="4494" spans="25:26">
      <c r="Y4494" s="1354"/>
      <c r="Z4494" s="1060"/>
    </row>
    <row r="4495" spans="25:26">
      <c r="Y4495" s="1354"/>
      <c r="Z4495" s="1060"/>
    </row>
    <row r="4496" spans="25:26">
      <c r="Y4496" s="1354"/>
      <c r="Z4496" s="1060"/>
    </row>
    <row r="4497" spans="25:26">
      <c r="Y4497" s="1354"/>
      <c r="Z4497" s="1060"/>
    </row>
    <row r="4498" spans="25:26">
      <c r="Y4498" s="1354"/>
      <c r="Z4498" s="1060"/>
    </row>
    <row r="4499" spans="25:26">
      <c r="Y4499" s="1354"/>
      <c r="Z4499" s="1060"/>
    </row>
    <row r="4500" spans="25:26">
      <c r="Y4500" s="1354"/>
      <c r="Z4500" s="1060"/>
    </row>
    <row r="4501" spans="25:26">
      <c r="Y4501" s="1354"/>
      <c r="Z4501" s="1060"/>
    </row>
    <row r="4502" spans="25:26">
      <c r="Y4502" s="1354"/>
      <c r="Z4502" s="1060"/>
    </row>
    <row r="4503" spans="25:26">
      <c r="Y4503" s="1354"/>
      <c r="Z4503" s="1060"/>
    </row>
    <row r="4504" spans="25:26">
      <c r="Y4504" s="1354"/>
      <c r="Z4504" s="1060"/>
    </row>
    <row r="4505" spans="25:26">
      <c r="Y4505" s="1354"/>
      <c r="Z4505" s="1060"/>
    </row>
    <row r="4506" spans="25:26">
      <c r="Y4506" s="1354"/>
      <c r="Z4506" s="1060"/>
    </row>
    <row r="4507" spans="25:26">
      <c r="Y4507" s="1354"/>
      <c r="Z4507" s="1060"/>
    </row>
    <row r="4508" spans="25:26">
      <c r="Y4508" s="1354"/>
      <c r="Z4508" s="1060"/>
    </row>
    <row r="4509" spans="25:26">
      <c r="Y4509" s="1354"/>
      <c r="Z4509" s="1060"/>
    </row>
    <row r="4510" spans="25:26">
      <c r="Y4510" s="1354"/>
      <c r="Z4510" s="1060"/>
    </row>
    <row r="4511" spans="25:26">
      <c r="Y4511" s="1354"/>
      <c r="Z4511" s="1060"/>
    </row>
    <row r="4512" spans="25:26">
      <c r="Y4512" s="1354"/>
      <c r="Z4512" s="1060"/>
    </row>
    <row r="4513" spans="25:26">
      <c r="Y4513" s="1354"/>
      <c r="Z4513" s="1060"/>
    </row>
    <row r="4514" spans="25:26">
      <c r="Y4514" s="1354"/>
      <c r="Z4514" s="1060"/>
    </row>
    <row r="4515" spans="25:26">
      <c r="Y4515" s="1354"/>
      <c r="Z4515" s="1060"/>
    </row>
    <row r="4516" spans="25:26">
      <c r="Y4516" s="1354"/>
      <c r="Z4516" s="1060"/>
    </row>
    <row r="4517" spans="25:26">
      <c r="Y4517" s="1354"/>
      <c r="Z4517" s="1060"/>
    </row>
    <row r="4518" spans="25:26">
      <c r="Y4518" s="1354"/>
      <c r="Z4518" s="1060"/>
    </row>
    <row r="4519" spans="25:26">
      <c r="Y4519" s="1354"/>
      <c r="Z4519" s="1060"/>
    </row>
    <row r="4520" spans="25:26">
      <c r="Y4520" s="1354"/>
      <c r="Z4520" s="1060"/>
    </row>
    <row r="4521" spans="25:26">
      <c r="Y4521" s="1354"/>
      <c r="Z4521" s="1060"/>
    </row>
    <row r="4522" spans="25:26">
      <c r="Y4522" s="1354"/>
      <c r="Z4522" s="1060"/>
    </row>
    <row r="4523" spans="25:26">
      <c r="Y4523" s="1354"/>
      <c r="Z4523" s="1060"/>
    </row>
    <row r="4524" spans="25:26">
      <c r="Y4524" s="1354"/>
      <c r="Z4524" s="1060"/>
    </row>
    <row r="4525" spans="25:26">
      <c r="Y4525" s="1354"/>
      <c r="Z4525" s="1060"/>
    </row>
    <row r="4526" spans="25:26">
      <c r="Y4526" s="1354"/>
      <c r="Z4526" s="1060"/>
    </row>
    <row r="4527" spans="25:26">
      <c r="Y4527" s="1354"/>
      <c r="Z4527" s="1060"/>
    </row>
    <row r="4528" spans="25:26">
      <c r="Y4528" s="1354"/>
      <c r="Z4528" s="1060"/>
    </row>
    <row r="4529" spans="25:26">
      <c r="Y4529" s="1354"/>
      <c r="Z4529" s="1060"/>
    </row>
    <row r="4530" spans="25:26">
      <c r="Y4530" s="1354"/>
      <c r="Z4530" s="1060"/>
    </row>
    <row r="4531" spans="25:26">
      <c r="Y4531" s="1354"/>
      <c r="Z4531" s="1060"/>
    </row>
    <row r="4532" spans="25:26">
      <c r="Y4532" s="1354"/>
      <c r="Z4532" s="1060"/>
    </row>
    <row r="4533" spans="25:26">
      <c r="Y4533" s="1354"/>
      <c r="Z4533" s="1060"/>
    </row>
    <row r="4534" spans="25:26">
      <c r="Y4534" s="1354"/>
      <c r="Z4534" s="1060"/>
    </row>
    <row r="4535" spans="25:26">
      <c r="Y4535" s="1354"/>
      <c r="Z4535" s="1060"/>
    </row>
    <row r="4536" spans="25:26">
      <c r="Y4536" s="1354"/>
      <c r="Z4536" s="1060"/>
    </row>
    <row r="4537" spans="25:26">
      <c r="Y4537" s="1354"/>
      <c r="Z4537" s="1060"/>
    </row>
    <row r="4538" spans="25:26">
      <c r="Y4538" s="1354"/>
      <c r="Z4538" s="1060"/>
    </row>
    <row r="4539" spans="25:26">
      <c r="Y4539" s="1354"/>
      <c r="Z4539" s="1060"/>
    </row>
    <row r="4540" spans="25:26">
      <c r="Y4540" s="1354"/>
      <c r="Z4540" s="1060"/>
    </row>
    <row r="4541" spans="25:26">
      <c r="Y4541" s="1354"/>
      <c r="Z4541" s="1060"/>
    </row>
    <row r="4542" spans="25:26">
      <c r="Y4542" s="1354"/>
      <c r="Z4542" s="1060"/>
    </row>
    <row r="4543" spans="25:26">
      <c r="Y4543" s="1354"/>
      <c r="Z4543" s="1060"/>
    </row>
    <row r="4544" spans="25:26">
      <c r="Y4544" s="1354"/>
      <c r="Z4544" s="1060"/>
    </row>
    <row r="4545" spans="25:26">
      <c r="Y4545" s="1354"/>
      <c r="Z4545" s="1060"/>
    </row>
    <row r="4546" spans="25:26">
      <c r="Y4546" s="1354"/>
      <c r="Z4546" s="1060"/>
    </row>
    <row r="4547" spans="25:26">
      <c r="Y4547" s="1354"/>
      <c r="Z4547" s="1060"/>
    </row>
    <row r="4548" spans="25:26">
      <c r="Y4548" s="1354"/>
      <c r="Z4548" s="1060"/>
    </row>
    <row r="4549" spans="25:26">
      <c r="Y4549" s="1354"/>
      <c r="Z4549" s="1060"/>
    </row>
    <row r="4550" spans="25:26">
      <c r="Y4550" s="1354"/>
      <c r="Z4550" s="1060"/>
    </row>
    <row r="4551" spans="25:26">
      <c r="Y4551" s="1354"/>
      <c r="Z4551" s="1060"/>
    </row>
    <row r="4552" spans="25:26">
      <c r="Y4552" s="1354"/>
      <c r="Z4552" s="1060"/>
    </row>
    <row r="4553" spans="25:26">
      <c r="Y4553" s="1354"/>
      <c r="Z4553" s="1060"/>
    </row>
    <row r="4554" spans="25:26">
      <c r="Y4554" s="1354"/>
      <c r="Z4554" s="1060"/>
    </row>
    <row r="4555" spans="25:26">
      <c r="Y4555" s="1354"/>
      <c r="Z4555" s="1060"/>
    </row>
    <row r="4556" spans="25:26">
      <c r="Y4556" s="1354"/>
      <c r="Z4556" s="1060"/>
    </row>
    <row r="4557" spans="25:26">
      <c r="Y4557" s="1354"/>
      <c r="Z4557" s="1060"/>
    </row>
    <row r="4558" spans="25:26">
      <c r="Y4558" s="1354"/>
      <c r="Z4558" s="1060"/>
    </row>
    <row r="4559" spans="25:26">
      <c r="Y4559" s="1354"/>
      <c r="Z4559" s="1060"/>
    </row>
    <row r="4560" spans="25:26">
      <c r="Y4560" s="1354"/>
      <c r="Z4560" s="1060"/>
    </row>
    <row r="4561" spans="25:26">
      <c r="Y4561" s="1354"/>
      <c r="Z4561" s="1060"/>
    </row>
    <row r="4562" spans="25:26">
      <c r="Y4562" s="1354"/>
      <c r="Z4562" s="1060"/>
    </row>
    <row r="4563" spans="25:26">
      <c r="Y4563" s="1354"/>
      <c r="Z4563" s="1060"/>
    </row>
    <row r="4564" spans="25:26">
      <c r="Y4564" s="1354"/>
      <c r="Z4564" s="1060"/>
    </row>
    <row r="4565" spans="25:26">
      <c r="Y4565" s="1354"/>
      <c r="Z4565" s="1060"/>
    </row>
    <row r="4566" spans="25:26">
      <c r="Y4566" s="1354"/>
      <c r="Z4566" s="1060"/>
    </row>
    <row r="4567" spans="25:26">
      <c r="Y4567" s="1354"/>
      <c r="Z4567" s="1060"/>
    </row>
    <row r="4568" spans="25:26">
      <c r="Y4568" s="1354"/>
      <c r="Z4568" s="1060"/>
    </row>
    <row r="4569" spans="25:26">
      <c r="Y4569" s="1354"/>
      <c r="Z4569" s="1060"/>
    </row>
    <row r="4570" spans="25:26">
      <c r="Y4570" s="1354"/>
      <c r="Z4570" s="1060"/>
    </row>
    <row r="4571" spans="25:26">
      <c r="Y4571" s="1354"/>
      <c r="Z4571" s="1060"/>
    </row>
    <row r="4572" spans="25:26">
      <c r="Y4572" s="1354"/>
      <c r="Z4572" s="1060"/>
    </row>
    <row r="4573" spans="25:26">
      <c r="Y4573" s="1354"/>
      <c r="Z4573" s="1060"/>
    </row>
    <row r="4574" spans="25:26">
      <c r="Y4574" s="1354"/>
      <c r="Z4574" s="1060"/>
    </row>
    <row r="4575" spans="25:26">
      <c r="Y4575" s="1354"/>
      <c r="Z4575" s="1060"/>
    </row>
    <row r="4576" spans="25:26">
      <c r="Y4576" s="1354"/>
      <c r="Z4576" s="1060"/>
    </row>
    <row r="4577" spans="25:26">
      <c r="Y4577" s="1354"/>
      <c r="Z4577" s="1060"/>
    </row>
    <row r="4578" spans="25:26">
      <c r="Y4578" s="1354"/>
      <c r="Z4578" s="1060"/>
    </row>
    <row r="4579" spans="25:26">
      <c r="Y4579" s="1354"/>
      <c r="Z4579" s="1060"/>
    </row>
    <row r="4580" spans="25:26">
      <c r="Y4580" s="1354"/>
      <c r="Z4580" s="1060"/>
    </row>
    <row r="4581" spans="25:26">
      <c r="Y4581" s="1354"/>
      <c r="Z4581" s="1060"/>
    </row>
    <row r="4582" spans="25:26">
      <c r="Y4582" s="1354"/>
      <c r="Z4582" s="1060"/>
    </row>
    <row r="4583" spans="25:26">
      <c r="Y4583" s="1354"/>
      <c r="Z4583" s="1060"/>
    </row>
    <row r="4584" spans="25:26">
      <c r="Y4584" s="1354"/>
      <c r="Z4584" s="1060"/>
    </row>
    <row r="4585" spans="25:26">
      <c r="Y4585" s="1354"/>
      <c r="Z4585" s="1060"/>
    </row>
    <row r="4586" spans="25:26">
      <c r="Y4586" s="1354"/>
      <c r="Z4586" s="1060"/>
    </row>
    <row r="4587" spans="25:26">
      <c r="Y4587" s="1354"/>
      <c r="Z4587" s="1060"/>
    </row>
    <row r="4588" spans="25:26">
      <c r="Y4588" s="1354"/>
      <c r="Z4588" s="1060"/>
    </row>
    <row r="4589" spans="25:26">
      <c r="Y4589" s="1354"/>
      <c r="Z4589" s="1060"/>
    </row>
    <row r="4590" spans="25:26">
      <c r="Y4590" s="1354"/>
      <c r="Z4590" s="1060"/>
    </row>
    <row r="4591" spans="25:26">
      <c r="Y4591" s="1354"/>
      <c r="Z4591" s="1060"/>
    </row>
    <row r="4592" spans="25:26">
      <c r="Y4592" s="1354"/>
      <c r="Z4592" s="1060"/>
    </row>
    <row r="4593" spans="25:26">
      <c r="Y4593" s="1354"/>
      <c r="Z4593" s="1060"/>
    </row>
    <row r="4594" spans="25:26">
      <c r="Y4594" s="1354"/>
      <c r="Z4594" s="1060"/>
    </row>
    <row r="4595" spans="25:26">
      <c r="Y4595" s="1354"/>
      <c r="Z4595" s="1060"/>
    </row>
    <row r="4596" spans="25:26">
      <c r="Y4596" s="1354"/>
      <c r="Z4596" s="1060"/>
    </row>
    <row r="4597" spans="25:26">
      <c r="Y4597" s="1354"/>
      <c r="Z4597" s="1060"/>
    </row>
    <row r="4598" spans="25:26">
      <c r="Y4598" s="1354"/>
      <c r="Z4598" s="1060"/>
    </row>
    <row r="4599" spans="25:26">
      <c r="Y4599" s="1354"/>
      <c r="Z4599" s="1060"/>
    </row>
    <row r="4600" spans="25:26">
      <c r="Y4600" s="1354"/>
      <c r="Z4600" s="1060"/>
    </row>
    <row r="4601" spans="25:26">
      <c r="Y4601" s="1354"/>
      <c r="Z4601" s="1060"/>
    </row>
    <row r="4602" spans="25:26">
      <c r="Y4602" s="1354"/>
      <c r="Z4602" s="1060"/>
    </row>
    <row r="4603" spans="25:26">
      <c r="Y4603" s="1354"/>
      <c r="Z4603" s="1060"/>
    </row>
    <row r="4604" spans="25:26">
      <c r="Y4604" s="1354"/>
      <c r="Z4604" s="1060"/>
    </row>
    <row r="4605" spans="25:26">
      <c r="Y4605" s="1354"/>
      <c r="Z4605" s="1060"/>
    </row>
    <row r="4606" spans="25:26">
      <c r="Y4606" s="1354"/>
      <c r="Z4606" s="1060"/>
    </row>
    <row r="4607" spans="25:26">
      <c r="Y4607" s="1354"/>
      <c r="Z4607" s="1060"/>
    </row>
    <row r="4608" spans="25:26">
      <c r="Y4608" s="1354"/>
      <c r="Z4608" s="1060"/>
    </row>
    <row r="4609" spans="25:26">
      <c r="Y4609" s="1354"/>
      <c r="Z4609" s="1060"/>
    </row>
    <row r="4610" spans="25:26">
      <c r="Y4610" s="1354"/>
      <c r="Z4610" s="1060"/>
    </row>
    <row r="4611" spans="25:26">
      <c r="Y4611" s="1354"/>
      <c r="Z4611" s="1060"/>
    </row>
    <row r="4612" spans="25:26">
      <c r="Y4612" s="1354"/>
      <c r="Z4612" s="1060"/>
    </row>
    <row r="4613" spans="25:26">
      <c r="Y4613" s="1354"/>
      <c r="Z4613" s="1060"/>
    </row>
    <row r="4614" spans="25:26">
      <c r="Y4614" s="1354"/>
      <c r="Z4614" s="1060"/>
    </row>
    <row r="4615" spans="25:26">
      <c r="Y4615" s="1354"/>
      <c r="Z4615" s="1060"/>
    </row>
    <row r="4616" spans="25:26">
      <c r="Y4616" s="1354"/>
      <c r="Z4616" s="1060"/>
    </row>
    <row r="4617" spans="25:26">
      <c r="Y4617" s="1354"/>
      <c r="Z4617" s="1060"/>
    </row>
    <row r="4618" spans="25:26">
      <c r="Y4618" s="1354"/>
      <c r="Z4618" s="1060"/>
    </row>
    <row r="4619" spans="25:26">
      <c r="Y4619" s="1354"/>
      <c r="Z4619" s="1060"/>
    </row>
    <row r="4620" spans="25:26">
      <c r="Y4620" s="1354"/>
      <c r="Z4620" s="1060"/>
    </row>
    <row r="4621" spans="25:26">
      <c r="Y4621" s="1354"/>
      <c r="Z4621" s="1060"/>
    </row>
    <row r="4622" spans="25:26">
      <c r="Y4622" s="1354"/>
      <c r="Z4622" s="1060"/>
    </row>
    <row r="4623" spans="25:26">
      <c r="Y4623" s="1354"/>
      <c r="Z4623" s="1060"/>
    </row>
    <row r="4624" spans="25:26">
      <c r="Y4624" s="1354"/>
      <c r="Z4624" s="1060"/>
    </row>
    <row r="4625" spans="25:26">
      <c r="Y4625" s="1354"/>
      <c r="Z4625" s="1060"/>
    </row>
    <row r="4626" spans="25:26">
      <c r="Y4626" s="1354"/>
      <c r="Z4626" s="1060"/>
    </row>
    <row r="4627" spans="25:26">
      <c r="Y4627" s="1354"/>
      <c r="Z4627" s="1060"/>
    </row>
    <row r="4628" spans="25:26">
      <c r="Y4628" s="1354"/>
      <c r="Z4628" s="1060"/>
    </row>
    <row r="4629" spans="25:26">
      <c r="Y4629" s="1354"/>
      <c r="Z4629" s="1060"/>
    </row>
    <row r="4630" spans="25:26">
      <c r="Y4630" s="1354"/>
      <c r="Z4630" s="1060"/>
    </row>
    <row r="4631" spans="25:26">
      <c r="Y4631" s="1354"/>
      <c r="Z4631" s="1060"/>
    </row>
    <row r="4632" spans="25:26">
      <c r="Y4632" s="1354"/>
      <c r="Z4632" s="1060"/>
    </row>
    <row r="4633" spans="25:26">
      <c r="Y4633" s="1354"/>
      <c r="Z4633" s="1060"/>
    </row>
    <row r="4634" spans="25:26">
      <c r="Y4634" s="1354"/>
      <c r="Z4634" s="1060"/>
    </row>
    <row r="4635" spans="25:26">
      <c r="Y4635" s="1354"/>
      <c r="Z4635" s="1060"/>
    </row>
    <row r="4636" spans="25:26">
      <c r="Y4636" s="1354"/>
      <c r="Z4636" s="1060"/>
    </row>
    <row r="4637" spans="25:26">
      <c r="Y4637" s="1354"/>
      <c r="Z4637" s="1060"/>
    </row>
    <row r="4638" spans="25:26">
      <c r="Y4638" s="1354"/>
      <c r="Z4638" s="1060"/>
    </row>
    <row r="4639" spans="25:26">
      <c r="Y4639" s="1354"/>
      <c r="Z4639" s="1060"/>
    </row>
    <row r="4640" spans="25:26">
      <c r="Y4640" s="1354"/>
      <c r="Z4640" s="1060"/>
    </row>
    <row r="4641" spans="25:26">
      <c r="Y4641" s="1354"/>
      <c r="Z4641" s="1060"/>
    </row>
    <row r="4642" spans="25:26">
      <c r="Y4642" s="1354"/>
      <c r="Z4642" s="1060"/>
    </row>
    <row r="4643" spans="25:26">
      <c r="Y4643" s="1354"/>
      <c r="Z4643" s="1060"/>
    </row>
    <row r="4644" spans="25:26">
      <c r="Y4644" s="1354"/>
      <c r="Z4644" s="1060"/>
    </row>
    <row r="4645" spans="25:26">
      <c r="Y4645" s="1354"/>
      <c r="Z4645" s="1060"/>
    </row>
    <row r="4646" spans="25:26">
      <c r="Y4646" s="1354"/>
      <c r="Z4646" s="1060"/>
    </row>
    <row r="4647" spans="25:26">
      <c r="Y4647" s="1354"/>
      <c r="Z4647" s="1060"/>
    </row>
    <row r="4648" spans="25:26">
      <c r="Y4648" s="1354"/>
      <c r="Z4648" s="1060"/>
    </row>
    <row r="4649" spans="25:26">
      <c r="Y4649" s="1354"/>
      <c r="Z4649" s="1060"/>
    </row>
    <row r="4650" spans="25:26">
      <c r="Y4650" s="1354"/>
      <c r="Z4650" s="1060"/>
    </row>
    <row r="4651" spans="25:26">
      <c r="Y4651" s="1354"/>
      <c r="Z4651" s="1060"/>
    </row>
    <row r="4652" spans="25:26">
      <c r="Y4652" s="1354"/>
      <c r="Z4652" s="1060"/>
    </row>
    <row r="4653" spans="25:26">
      <c r="Y4653" s="1354"/>
      <c r="Z4653" s="1060"/>
    </row>
    <row r="4654" spans="25:26">
      <c r="Y4654" s="1354"/>
      <c r="Z4654" s="1060"/>
    </row>
    <row r="4655" spans="25:26">
      <c r="Y4655" s="1354"/>
      <c r="Z4655" s="1060"/>
    </row>
    <row r="4656" spans="25:26">
      <c r="Y4656" s="1354"/>
      <c r="Z4656" s="1060"/>
    </row>
    <row r="4657" spans="25:26">
      <c r="Y4657" s="1354"/>
      <c r="Z4657" s="1060"/>
    </row>
    <row r="4658" spans="25:26">
      <c r="Y4658" s="1354"/>
      <c r="Z4658" s="1060"/>
    </row>
    <row r="4659" spans="25:26">
      <c r="Y4659" s="1354"/>
      <c r="Z4659" s="1060"/>
    </row>
    <row r="4660" spans="25:26">
      <c r="Y4660" s="1354"/>
      <c r="Z4660" s="1060"/>
    </row>
    <row r="4661" spans="25:26">
      <c r="Y4661" s="1354"/>
      <c r="Z4661" s="1060"/>
    </row>
    <row r="4662" spans="25:26">
      <c r="Y4662" s="1354"/>
      <c r="Z4662" s="1060"/>
    </row>
    <row r="4663" spans="25:26">
      <c r="Y4663" s="1354"/>
      <c r="Z4663" s="1060"/>
    </row>
    <row r="4664" spans="25:26">
      <c r="Y4664" s="1354"/>
      <c r="Z4664" s="1060"/>
    </row>
    <row r="4665" spans="25:26">
      <c r="Y4665" s="1354"/>
      <c r="Z4665" s="1060"/>
    </row>
    <row r="4666" spans="25:26">
      <c r="Y4666" s="1354"/>
      <c r="Z4666" s="1060"/>
    </row>
    <row r="4667" spans="25:26">
      <c r="Y4667" s="1354"/>
      <c r="Z4667" s="1060"/>
    </row>
    <row r="4668" spans="25:26">
      <c r="Y4668" s="1354"/>
      <c r="Z4668" s="1060"/>
    </row>
    <row r="4669" spans="25:26">
      <c r="Y4669" s="1354"/>
      <c r="Z4669" s="1060"/>
    </row>
    <row r="4670" spans="25:26">
      <c r="Y4670" s="1354"/>
      <c r="Z4670" s="1060"/>
    </row>
    <row r="4671" spans="25:26">
      <c r="Y4671" s="1354"/>
      <c r="Z4671" s="1060"/>
    </row>
    <row r="4672" spans="25:26">
      <c r="Y4672" s="1354"/>
      <c r="Z4672" s="1060"/>
    </row>
    <row r="4673" spans="25:26">
      <c r="Y4673" s="1354"/>
      <c r="Z4673" s="1060"/>
    </row>
    <row r="4674" spans="25:26">
      <c r="Y4674" s="1354"/>
      <c r="Z4674" s="1060"/>
    </row>
    <row r="4675" spans="25:26">
      <c r="Y4675" s="1354"/>
      <c r="Z4675" s="1060"/>
    </row>
    <row r="4676" spans="25:26">
      <c r="Y4676" s="1354"/>
      <c r="Z4676" s="1060"/>
    </row>
    <row r="4677" spans="25:26">
      <c r="Y4677" s="1354"/>
      <c r="Z4677" s="1060"/>
    </row>
    <row r="4678" spans="25:26">
      <c r="Y4678" s="1354"/>
      <c r="Z4678" s="1060"/>
    </row>
    <row r="4679" spans="25:26">
      <c r="Y4679" s="1354"/>
      <c r="Z4679" s="1060"/>
    </row>
    <row r="4680" spans="25:26">
      <c r="Y4680" s="1354"/>
      <c r="Z4680" s="1060"/>
    </row>
    <row r="4681" spans="25:26">
      <c r="Y4681" s="1354"/>
      <c r="Z4681" s="1060"/>
    </row>
    <row r="4682" spans="25:26">
      <c r="Y4682" s="1354"/>
      <c r="Z4682" s="1060"/>
    </row>
    <row r="4683" spans="25:26">
      <c r="Y4683" s="1354"/>
      <c r="Z4683" s="1060"/>
    </row>
    <row r="4684" spans="25:26">
      <c r="Y4684" s="1354"/>
      <c r="Z4684" s="1060"/>
    </row>
    <row r="4685" spans="25:26">
      <c r="Y4685" s="1354"/>
      <c r="Z4685" s="1060"/>
    </row>
    <row r="4686" spans="25:26">
      <c r="Y4686" s="1354"/>
      <c r="Z4686" s="1060"/>
    </row>
    <row r="4687" spans="25:26">
      <c r="Y4687" s="1354"/>
      <c r="Z4687" s="1060"/>
    </row>
    <row r="4688" spans="25:26">
      <c r="Y4688" s="1354"/>
      <c r="Z4688" s="1060"/>
    </row>
    <row r="4689" spans="25:26">
      <c r="Y4689" s="1354"/>
      <c r="Z4689" s="1060"/>
    </row>
    <row r="4690" spans="25:26">
      <c r="Y4690" s="1354"/>
      <c r="Z4690" s="1060"/>
    </row>
    <row r="4691" spans="25:26">
      <c r="Y4691" s="1354"/>
      <c r="Z4691" s="1060"/>
    </row>
    <row r="4692" spans="25:26">
      <c r="Y4692" s="1354"/>
      <c r="Z4692" s="1060"/>
    </row>
    <row r="4693" spans="25:26">
      <c r="Y4693" s="1354"/>
      <c r="Z4693" s="1060"/>
    </row>
    <row r="4694" spans="25:26">
      <c r="Y4694" s="1354"/>
      <c r="Z4694" s="1060"/>
    </row>
    <row r="4695" spans="25:26">
      <c r="Y4695" s="1354"/>
      <c r="Z4695" s="1060"/>
    </row>
    <row r="4696" spans="25:26">
      <c r="Y4696" s="1354"/>
      <c r="Z4696" s="1060"/>
    </row>
    <row r="4697" spans="25:26">
      <c r="Y4697" s="1354"/>
      <c r="Z4697" s="1060"/>
    </row>
    <row r="4698" spans="25:26">
      <c r="Y4698" s="1354"/>
      <c r="Z4698" s="1060"/>
    </row>
    <row r="4699" spans="25:26">
      <c r="Y4699" s="1354"/>
      <c r="Z4699" s="1060"/>
    </row>
    <row r="4700" spans="25:26">
      <c r="Y4700" s="1354"/>
      <c r="Z4700" s="1060"/>
    </row>
    <row r="4701" spans="25:26">
      <c r="Y4701" s="1354"/>
      <c r="Z4701" s="1060"/>
    </row>
    <row r="4702" spans="25:26">
      <c r="Y4702" s="1354"/>
      <c r="Z4702" s="1060"/>
    </row>
    <row r="4703" spans="25:26">
      <c r="Y4703" s="1354"/>
      <c r="Z4703" s="1060"/>
    </row>
    <row r="4704" spans="25:26">
      <c r="Y4704" s="1354"/>
      <c r="Z4704" s="1060"/>
    </row>
    <row r="4705" spans="25:26">
      <c r="Y4705" s="1354"/>
      <c r="Z4705" s="1060"/>
    </row>
    <row r="4706" spans="25:26">
      <c r="Y4706" s="1354"/>
      <c r="Z4706" s="1060"/>
    </row>
    <row r="4707" spans="25:26">
      <c r="Y4707" s="1354"/>
      <c r="Z4707" s="1060"/>
    </row>
    <row r="4708" spans="25:26">
      <c r="Y4708" s="1354"/>
      <c r="Z4708" s="1060"/>
    </row>
    <row r="4709" spans="25:26">
      <c r="Y4709" s="1354"/>
      <c r="Z4709" s="1060"/>
    </row>
    <row r="4710" spans="25:26">
      <c r="Y4710" s="1354"/>
      <c r="Z4710" s="1060"/>
    </row>
    <row r="4711" spans="25:26">
      <c r="Y4711" s="1354"/>
      <c r="Z4711" s="1060"/>
    </row>
    <row r="4712" spans="25:26">
      <c r="Y4712" s="1354"/>
      <c r="Z4712" s="1060"/>
    </row>
    <row r="4713" spans="25:26">
      <c r="Y4713" s="1354"/>
      <c r="Z4713" s="1060"/>
    </row>
    <row r="4714" spans="25:26">
      <c r="Y4714" s="1354"/>
      <c r="Z4714" s="1060"/>
    </row>
    <row r="4715" spans="25:26">
      <c r="Y4715" s="1354"/>
      <c r="Z4715" s="1060"/>
    </row>
    <row r="4716" spans="25:26">
      <c r="Y4716" s="1354"/>
      <c r="Z4716" s="1060"/>
    </row>
    <row r="4717" spans="25:26">
      <c r="Y4717" s="1354"/>
      <c r="Z4717" s="1060"/>
    </row>
    <row r="4718" spans="25:26">
      <c r="Y4718" s="1354"/>
      <c r="Z4718" s="1060"/>
    </row>
    <row r="4719" spans="25:26">
      <c r="Y4719" s="1354"/>
      <c r="Z4719" s="1060"/>
    </row>
    <row r="4720" spans="25:26">
      <c r="Y4720" s="1354"/>
      <c r="Z4720" s="1060"/>
    </row>
    <row r="4721" spans="25:26">
      <c r="Y4721" s="1354"/>
      <c r="Z4721" s="1060"/>
    </row>
    <row r="4722" spans="25:26">
      <c r="Y4722" s="1354"/>
      <c r="Z4722" s="1060"/>
    </row>
    <row r="4723" spans="25:26">
      <c r="Y4723" s="1354"/>
      <c r="Z4723" s="1060"/>
    </row>
    <row r="4724" spans="25:26">
      <c r="Y4724" s="1354"/>
      <c r="Z4724" s="1060"/>
    </row>
    <row r="4725" spans="25:26">
      <c r="Y4725" s="1354"/>
      <c r="Z4725" s="1060"/>
    </row>
    <row r="4726" spans="25:26">
      <c r="Y4726" s="1354"/>
      <c r="Z4726" s="1060"/>
    </row>
    <row r="4727" spans="25:26">
      <c r="Y4727" s="1354"/>
      <c r="Z4727" s="1060"/>
    </row>
    <row r="4728" spans="25:26">
      <c r="Y4728" s="1354"/>
      <c r="Z4728" s="1060"/>
    </row>
    <row r="4729" spans="25:26">
      <c r="Y4729" s="1354"/>
      <c r="Z4729" s="1060"/>
    </row>
    <row r="4730" spans="25:26">
      <c r="Y4730" s="1354"/>
      <c r="Z4730" s="1060"/>
    </row>
    <row r="4731" spans="25:26">
      <c r="Y4731" s="1354"/>
      <c r="Z4731" s="1060"/>
    </row>
    <row r="4732" spans="25:26">
      <c r="Y4732" s="1354"/>
      <c r="Z4732" s="1060"/>
    </row>
    <row r="4733" spans="25:26">
      <c r="Y4733" s="1354"/>
      <c r="Z4733" s="1060"/>
    </row>
    <row r="4734" spans="25:26">
      <c r="Y4734" s="1354"/>
      <c r="Z4734" s="1060"/>
    </row>
    <row r="4735" spans="25:26">
      <c r="Y4735" s="1354"/>
      <c r="Z4735" s="1060"/>
    </row>
    <row r="4736" spans="25:26">
      <c r="Y4736" s="1354"/>
      <c r="Z4736" s="1060"/>
    </row>
    <row r="4737" spans="25:26">
      <c r="Y4737" s="1354"/>
      <c r="Z4737" s="1060"/>
    </row>
    <row r="4738" spans="25:26">
      <c r="Y4738" s="1354"/>
      <c r="Z4738" s="1060"/>
    </row>
    <row r="4739" spans="25:26">
      <c r="Y4739" s="1354"/>
      <c r="Z4739" s="1060"/>
    </row>
    <row r="4740" spans="25:26">
      <c r="Y4740" s="1354"/>
      <c r="Z4740" s="1060"/>
    </row>
    <row r="4741" spans="25:26">
      <c r="Y4741" s="1354"/>
      <c r="Z4741" s="1060"/>
    </row>
    <row r="4742" spans="25:26">
      <c r="Y4742" s="1354"/>
      <c r="Z4742" s="1060"/>
    </row>
    <row r="4743" spans="25:26">
      <c r="Y4743" s="1354"/>
      <c r="Z4743" s="1060"/>
    </row>
    <row r="4744" spans="25:26">
      <c r="Y4744" s="1354"/>
      <c r="Z4744" s="1060"/>
    </row>
    <row r="4745" spans="25:26">
      <c r="Y4745" s="1354"/>
      <c r="Z4745" s="1060"/>
    </row>
    <row r="4746" spans="25:26">
      <c r="Y4746" s="1354"/>
      <c r="Z4746" s="1060"/>
    </row>
    <row r="4747" spans="25:26">
      <c r="Y4747" s="1354"/>
      <c r="Z4747" s="1060"/>
    </row>
    <row r="4748" spans="25:26">
      <c r="Y4748" s="1354"/>
      <c r="Z4748" s="1060"/>
    </row>
    <row r="4749" spans="25:26">
      <c r="Y4749" s="1354"/>
      <c r="Z4749" s="1060"/>
    </row>
    <row r="4750" spans="25:26">
      <c r="Y4750" s="1354"/>
      <c r="Z4750" s="1060"/>
    </row>
    <row r="4751" spans="25:26">
      <c r="Y4751" s="1354"/>
      <c r="Z4751" s="1060"/>
    </row>
    <row r="4752" spans="25:26">
      <c r="Y4752" s="1354"/>
      <c r="Z4752" s="1060"/>
    </row>
    <row r="4753" spans="25:26">
      <c r="Y4753" s="1354"/>
      <c r="Z4753" s="1060"/>
    </row>
    <row r="4754" spans="25:26">
      <c r="Y4754" s="1354"/>
      <c r="Z4754" s="1060"/>
    </row>
    <row r="4755" spans="25:26">
      <c r="Y4755" s="1354"/>
      <c r="Z4755" s="1060"/>
    </row>
    <row r="4756" spans="25:26">
      <c r="Y4756" s="1354"/>
      <c r="Z4756" s="1060"/>
    </row>
    <row r="4757" spans="25:26">
      <c r="Y4757" s="1354"/>
      <c r="Z4757" s="1060"/>
    </row>
    <row r="4758" spans="25:26">
      <c r="Y4758" s="1354"/>
      <c r="Z4758" s="1060"/>
    </row>
    <row r="4759" spans="25:26">
      <c r="Y4759" s="1354"/>
      <c r="Z4759" s="1060"/>
    </row>
    <row r="4760" spans="25:26">
      <c r="Y4760" s="1354"/>
      <c r="Z4760" s="1060"/>
    </row>
    <row r="4761" spans="25:26">
      <c r="Y4761" s="1354"/>
      <c r="Z4761" s="1060"/>
    </row>
    <row r="4762" spans="25:26">
      <c r="Y4762" s="1354"/>
      <c r="Z4762" s="1060"/>
    </row>
    <row r="4763" spans="25:26">
      <c r="Y4763" s="1354"/>
      <c r="Z4763" s="1060"/>
    </row>
    <row r="4764" spans="25:26">
      <c r="Y4764" s="1354"/>
      <c r="Z4764" s="1060"/>
    </row>
    <row r="4765" spans="25:26">
      <c r="Y4765" s="1354"/>
      <c r="Z4765" s="1060"/>
    </row>
    <row r="4766" spans="25:26">
      <c r="Y4766" s="1354"/>
      <c r="Z4766" s="1060"/>
    </row>
    <row r="4767" spans="25:26">
      <c r="Y4767" s="1354"/>
      <c r="Z4767" s="1060"/>
    </row>
    <row r="4768" spans="25:26">
      <c r="Y4768" s="1354"/>
      <c r="Z4768" s="1060"/>
    </row>
    <row r="4769" spans="25:26">
      <c r="Y4769" s="1354"/>
      <c r="Z4769" s="1060"/>
    </row>
    <row r="4770" spans="25:26">
      <c r="Y4770" s="1354"/>
      <c r="Z4770" s="1060"/>
    </row>
    <row r="4771" spans="25:26">
      <c r="Y4771" s="1354"/>
      <c r="Z4771" s="1060"/>
    </row>
    <row r="4772" spans="25:26">
      <c r="Y4772" s="1354"/>
      <c r="Z4772" s="1060"/>
    </row>
    <row r="4773" spans="25:26">
      <c r="Y4773" s="1354"/>
      <c r="Z4773" s="1060"/>
    </row>
    <row r="4774" spans="25:26">
      <c r="Y4774" s="1354"/>
      <c r="Z4774" s="1060"/>
    </row>
    <row r="4775" spans="25:26">
      <c r="Y4775" s="1354"/>
      <c r="Z4775" s="1060"/>
    </row>
    <row r="4776" spans="25:26">
      <c r="Y4776" s="1354"/>
      <c r="Z4776" s="1060"/>
    </row>
    <row r="4777" spans="25:26">
      <c r="Y4777" s="1354"/>
      <c r="Z4777" s="1060"/>
    </row>
    <row r="4778" spans="25:26">
      <c r="Y4778" s="1354"/>
      <c r="Z4778" s="1060"/>
    </row>
    <row r="4779" spans="25:26">
      <c r="Y4779" s="1354"/>
      <c r="Z4779" s="1060"/>
    </row>
    <row r="4780" spans="25:26">
      <c r="Y4780" s="1354"/>
      <c r="Z4780" s="1060"/>
    </row>
    <row r="4781" spans="25:26">
      <c r="Y4781" s="1354"/>
      <c r="Z4781" s="1060"/>
    </row>
    <row r="4782" spans="25:26">
      <c r="Y4782" s="1354"/>
      <c r="Z4782" s="1060"/>
    </row>
    <row r="4783" spans="25:26">
      <c r="Y4783" s="1354"/>
      <c r="Z4783" s="1060"/>
    </row>
    <row r="4784" spans="25:26">
      <c r="Y4784" s="1354"/>
      <c r="Z4784" s="1060"/>
    </row>
    <row r="4785" spans="25:26">
      <c r="Y4785" s="1354"/>
      <c r="Z4785" s="1060"/>
    </row>
    <row r="4786" spans="25:26">
      <c r="Y4786" s="1354"/>
      <c r="Z4786" s="1060"/>
    </row>
    <row r="4787" spans="25:26">
      <c r="Y4787" s="1354"/>
      <c r="Z4787" s="1060"/>
    </row>
    <row r="4788" spans="25:26">
      <c r="Y4788" s="1354"/>
      <c r="Z4788" s="1060"/>
    </row>
    <row r="4789" spans="25:26">
      <c r="Y4789" s="1354"/>
      <c r="Z4789" s="1060"/>
    </row>
    <row r="4790" spans="25:26">
      <c r="Y4790" s="1354"/>
      <c r="Z4790" s="1060"/>
    </row>
    <row r="4791" spans="25:26">
      <c r="Y4791" s="1354"/>
      <c r="Z4791" s="1060"/>
    </row>
    <row r="4792" spans="25:26">
      <c r="Y4792" s="1354"/>
      <c r="Z4792" s="1060"/>
    </row>
    <row r="4793" spans="25:26">
      <c r="Y4793" s="1354"/>
      <c r="Z4793" s="1060"/>
    </row>
    <row r="4794" spans="25:26">
      <c r="Y4794" s="1354"/>
      <c r="Z4794" s="1060"/>
    </row>
    <row r="4795" spans="25:26">
      <c r="Y4795" s="1354"/>
      <c r="Z4795" s="1060"/>
    </row>
    <row r="4796" spans="25:26">
      <c r="Y4796" s="1354"/>
      <c r="Z4796" s="1060"/>
    </row>
    <row r="4797" spans="25:26">
      <c r="Y4797" s="1354"/>
      <c r="Z4797" s="1060"/>
    </row>
    <row r="4798" spans="25:26">
      <c r="Y4798" s="1354"/>
      <c r="Z4798" s="1060"/>
    </row>
    <row r="4799" spans="25:26">
      <c r="Y4799" s="1354"/>
      <c r="Z4799" s="1060"/>
    </row>
    <row r="4800" spans="25:26">
      <c r="Y4800" s="1354"/>
      <c r="Z4800" s="1060"/>
    </row>
    <row r="4801" spans="25:26">
      <c r="Y4801" s="1354"/>
      <c r="Z4801" s="1060"/>
    </row>
    <row r="4802" spans="25:26">
      <c r="Y4802" s="1354"/>
      <c r="Z4802" s="1060"/>
    </row>
    <row r="4803" spans="25:26">
      <c r="Y4803" s="1354"/>
      <c r="Z4803" s="1060"/>
    </row>
    <row r="4804" spans="25:26">
      <c r="Y4804" s="1354"/>
      <c r="Z4804" s="1060"/>
    </row>
    <row r="4805" spans="25:26">
      <c r="Y4805" s="1354"/>
      <c r="Z4805" s="1060"/>
    </row>
    <row r="4806" spans="25:26">
      <c r="Y4806" s="1354"/>
      <c r="Z4806" s="1060"/>
    </row>
    <row r="4807" spans="25:26">
      <c r="Y4807" s="1354"/>
      <c r="Z4807" s="1060"/>
    </row>
    <row r="4808" spans="25:26">
      <c r="Y4808" s="1354"/>
      <c r="Z4808" s="1060"/>
    </row>
    <row r="4809" spans="25:26">
      <c r="Y4809" s="1354"/>
      <c r="Z4809" s="1060"/>
    </row>
    <row r="4810" spans="25:26">
      <c r="Y4810" s="1354"/>
      <c r="Z4810" s="1060"/>
    </row>
    <row r="4811" spans="25:26">
      <c r="Y4811" s="1354"/>
      <c r="Z4811" s="1060"/>
    </row>
    <row r="4812" spans="25:26">
      <c r="Y4812" s="1354"/>
      <c r="Z4812" s="1060"/>
    </row>
    <row r="4813" spans="25:26">
      <c r="Y4813" s="1354"/>
      <c r="Z4813" s="1060"/>
    </row>
    <row r="4814" spans="25:26">
      <c r="Y4814" s="1354"/>
      <c r="Z4814" s="1060"/>
    </row>
    <row r="4815" spans="25:26">
      <c r="Y4815" s="1354"/>
      <c r="Z4815" s="1060"/>
    </row>
    <row r="4816" spans="25:26">
      <c r="Y4816" s="1354"/>
      <c r="Z4816" s="1060"/>
    </row>
    <row r="4817" spans="25:26">
      <c r="Y4817" s="1354"/>
      <c r="Z4817" s="1060"/>
    </row>
    <row r="4818" spans="25:26">
      <c r="Y4818" s="1354"/>
      <c r="Z4818" s="1060"/>
    </row>
    <row r="4819" spans="25:26">
      <c r="Y4819" s="1354"/>
      <c r="Z4819" s="1060"/>
    </row>
    <row r="4820" spans="25:26">
      <c r="Y4820" s="1354"/>
      <c r="Z4820" s="1060"/>
    </row>
    <row r="4821" spans="25:26">
      <c r="Y4821" s="1354"/>
      <c r="Z4821" s="1060"/>
    </row>
    <row r="4822" spans="25:26">
      <c r="Y4822" s="1354"/>
      <c r="Z4822" s="1060"/>
    </row>
    <row r="4823" spans="25:26">
      <c r="Y4823" s="1354"/>
      <c r="Z4823" s="1060"/>
    </row>
    <row r="4824" spans="25:26">
      <c r="Y4824" s="1354"/>
      <c r="Z4824" s="1060"/>
    </row>
    <row r="4825" spans="25:26">
      <c r="Y4825" s="1354"/>
      <c r="Z4825" s="1060"/>
    </row>
    <row r="4826" spans="25:26">
      <c r="Y4826" s="1354"/>
      <c r="Z4826" s="1060"/>
    </row>
    <row r="4827" spans="25:26">
      <c r="Y4827" s="1354"/>
      <c r="Z4827" s="1060"/>
    </row>
    <row r="4828" spans="25:26">
      <c r="Y4828" s="1354"/>
      <c r="Z4828" s="1060"/>
    </row>
    <row r="4829" spans="25:26">
      <c r="Y4829" s="1354"/>
      <c r="Z4829" s="1060"/>
    </row>
    <row r="4830" spans="25:26">
      <c r="Y4830" s="1354"/>
      <c r="Z4830" s="1060"/>
    </row>
    <row r="4831" spans="25:26">
      <c r="Y4831" s="1354"/>
      <c r="Z4831" s="1060"/>
    </row>
    <row r="4832" spans="25:26">
      <c r="Y4832" s="1354"/>
      <c r="Z4832" s="1060"/>
    </row>
    <row r="4833" spans="25:26">
      <c r="Y4833" s="1354"/>
      <c r="Z4833" s="1060"/>
    </row>
    <row r="4834" spans="25:26">
      <c r="Y4834" s="1354"/>
      <c r="Z4834" s="1060"/>
    </row>
    <row r="4835" spans="25:26">
      <c r="Y4835" s="1354"/>
      <c r="Z4835" s="1060"/>
    </row>
    <row r="4836" spans="25:26">
      <c r="Y4836" s="1354"/>
      <c r="Z4836" s="1060"/>
    </row>
    <row r="4837" spans="25:26">
      <c r="Y4837" s="1354"/>
      <c r="Z4837" s="1060"/>
    </row>
    <row r="4838" spans="25:26">
      <c r="Y4838" s="1354"/>
      <c r="Z4838" s="1060"/>
    </row>
    <row r="4839" spans="25:26">
      <c r="Y4839" s="1354"/>
      <c r="Z4839" s="1060"/>
    </row>
    <row r="4840" spans="25:26">
      <c r="Y4840" s="1354"/>
      <c r="Z4840" s="1060"/>
    </row>
    <row r="4841" spans="25:26">
      <c r="Y4841" s="1354"/>
      <c r="Z4841" s="1060"/>
    </row>
    <row r="4842" spans="25:26">
      <c r="Y4842" s="1354"/>
      <c r="Z4842" s="1060"/>
    </row>
    <row r="4843" spans="25:26">
      <c r="Y4843" s="1354"/>
      <c r="Z4843" s="1060"/>
    </row>
    <row r="4844" spans="25:26">
      <c r="Y4844" s="1354"/>
      <c r="Z4844" s="1060"/>
    </row>
    <row r="4845" spans="25:26">
      <c r="Y4845" s="1354"/>
      <c r="Z4845" s="1060"/>
    </row>
    <row r="4846" spans="25:26">
      <c r="Y4846" s="1354"/>
      <c r="Z4846" s="1060"/>
    </row>
    <row r="4847" spans="25:26">
      <c r="Y4847" s="1354"/>
      <c r="Z4847" s="1060"/>
    </row>
    <row r="4848" spans="25:26">
      <c r="Y4848" s="1354"/>
      <c r="Z4848" s="1060"/>
    </row>
    <row r="4849" spans="25:26">
      <c r="Y4849" s="1354"/>
      <c r="Z4849" s="1060"/>
    </row>
    <row r="4850" spans="25:26">
      <c r="Y4850" s="1354"/>
      <c r="Z4850" s="1060"/>
    </row>
    <row r="4851" spans="25:26">
      <c r="Y4851" s="1354"/>
      <c r="Z4851" s="1060"/>
    </row>
    <row r="4852" spans="25:26">
      <c r="Y4852" s="1354"/>
      <c r="Z4852" s="1060"/>
    </row>
    <row r="4853" spans="25:26">
      <c r="Y4853" s="1354"/>
      <c r="Z4853" s="1060"/>
    </row>
    <row r="4854" spans="25:26">
      <c r="Y4854" s="1354"/>
      <c r="Z4854" s="1060"/>
    </row>
    <row r="4855" spans="25:26">
      <c r="Y4855" s="1354"/>
      <c r="Z4855" s="1060"/>
    </row>
    <row r="4856" spans="25:26">
      <c r="Y4856" s="1354"/>
      <c r="Z4856" s="1060"/>
    </row>
    <row r="4857" spans="25:26">
      <c r="Y4857" s="1354"/>
      <c r="Z4857" s="1060"/>
    </row>
    <row r="4858" spans="25:26">
      <c r="Y4858" s="1354"/>
      <c r="Z4858" s="1060"/>
    </row>
    <row r="4859" spans="25:26">
      <c r="Y4859" s="1354"/>
      <c r="Z4859" s="1060"/>
    </row>
    <row r="4860" spans="25:26">
      <c r="Y4860" s="1354"/>
      <c r="Z4860" s="1060"/>
    </row>
    <row r="4861" spans="25:26">
      <c r="Y4861" s="1354"/>
      <c r="Z4861" s="1060"/>
    </row>
    <row r="4862" spans="25:26">
      <c r="Y4862" s="1354"/>
      <c r="Z4862" s="1060"/>
    </row>
    <row r="4863" spans="25:26">
      <c r="Y4863" s="1354"/>
      <c r="Z4863" s="1060"/>
    </row>
    <row r="4864" spans="25:26">
      <c r="Y4864" s="1354"/>
      <c r="Z4864" s="1060"/>
    </row>
    <row r="4865" spans="25:26">
      <c r="Y4865" s="1354"/>
      <c r="Z4865" s="1060"/>
    </row>
    <row r="4866" spans="25:26">
      <c r="Y4866" s="1354"/>
      <c r="Z4866" s="1060"/>
    </row>
    <row r="4867" spans="25:26">
      <c r="Y4867" s="1354"/>
      <c r="Z4867" s="1060"/>
    </row>
    <row r="4868" spans="25:26">
      <c r="Y4868" s="1354"/>
      <c r="Z4868" s="1060"/>
    </row>
    <row r="4869" spans="25:26">
      <c r="Y4869" s="1354"/>
      <c r="Z4869" s="1060"/>
    </row>
    <row r="4870" spans="25:26">
      <c r="Y4870" s="1354"/>
      <c r="Z4870" s="1060"/>
    </row>
    <row r="4871" spans="25:26">
      <c r="Y4871" s="1354"/>
      <c r="Z4871" s="1060"/>
    </row>
    <row r="4872" spans="25:26">
      <c r="Y4872" s="1354"/>
      <c r="Z4872" s="1060"/>
    </row>
    <row r="4873" spans="25:26">
      <c r="Y4873" s="1354"/>
      <c r="Z4873" s="1060"/>
    </row>
    <row r="4874" spans="25:26">
      <c r="Y4874" s="1354"/>
      <c r="Z4874" s="1060"/>
    </row>
    <row r="4875" spans="25:26">
      <c r="Y4875" s="1354"/>
      <c r="Z4875" s="1060"/>
    </row>
    <row r="4876" spans="25:26">
      <c r="Y4876" s="1354"/>
      <c r="Z4876" s="1060"/>
    </row>
    <row r="4877" spans="25:26">
      <c r="Y4877" s="1354"/>
      <c r="Z4877" s="1060"/>
    </row>
    <row r="4878" spans="25:26">
      <c r="Y4878" s="1354"/>
      <c r="Z4878" s="1060"/>
    </row>
    <row r="4879" spans="25:26">
      <c r="Y4879" s="1354"/>
      <c r="Z4879" s="1060"/>
    </row>
    <row r="4880" spans="25:26">
      <c r="Y4880" s="1354"/>
      <c r="Z4880" s="1060"/>
    </row>
    <row r="4881" spans="25:26">
      <c r="Y4881" s="1354"/>
      <c r="Z4881" s="1060"/>
    </row>
    <row r="4882" spans="25:26">
      <c r="Y4882" s="1354"/>
      <c r="Z4882" s="1060"/>
    </row>
    <row r="4883" spans="25:26">
      <c r="Y4883" s="1354"/>
      <c r="Z4883" s="1060"/>
    </row>
    <row r="4884" spans="25:26">
      <c r="Y4884" s="1354"/>
      <c r="Z4884" s="1060"/>
    </row>
    <row r="4885" spans="25:26">
      <c r="Y4885" s="1354"/>
      <c r="Z4885" s="1060"/>
    </row>
    <row r="4886" spans="25:26">
      <c r="Y4886" s="1354"/>
      <c r="Z4886" s="1060"/>
    </row>
    <row r="4887" spans="25:26">
      <c r="Y4887" s="1354"/>
      <c r="Z4887" s="1060"/>
    </row>
    <row r="4888" spans="25:26">
      <c r="Y4888" s="1354"/>
      <c r="Z4888" s="1060"/>
    </row>
    <row r="4889" spans="25:26">
      <c r="Y4889" s="1354"/>
      <c r="Z4889" s="1060"/>
    </row>
    <row r="4890" spans="25:26">
      <c r="Y4890" s="1354"/>
      <c r="Z4890" s="1060"/>
    </row>
    <row r="4891" spans="25:26">
      <c r="Y4891" s="1354"/>
      <c r="Z4891" s="1060"/>
    </row>
    <row r="4892" spans="25:26">
      <c r="Y4892" s="1354"/>
      <c r="Z4892" s="1060"/>
    </row>
    <row r="4893" spans="25:26">
      <c r="Y4893" s="1354"/>
      <c r="Z4893" s="1060"/>
    </row>
    <row r="4894" spans="25:26">
      <c r="Y4894" s="1354"/>
      <c r="Z4894" s="1060"/>
    </row>
    <row r="4895" spans="25:26">
      <c r="Y4895" s="1354"/>
      <c r="Z4895" s="1060"/>
    </row>
    <row r="4896" spans="25:26">
      <c r="Y4896" s="1354"/>
      <c r="Z4896" s="1060"/>
    </row>
    <row r="4897" spans="25:26">
      <c r="Y4897" s="1354"/>
      <c r="Z4897" s="1060"/>
    </row>
    <row r="4898" spans="25:26">
      <c r="Y4898" s="1354"/>
      <c r="Z4898" s="1060"/>
    </row>
    <row r="4899" spans="25:26">
      <c r="Y4899" s="1354"/>
      <c r="Z4899" s="1060"/>
    </row>
    <row r="4900" spans="25:26">
      <c r="Y4900" s="1354"/>
      <c r="Z4900" s="1060"/>
    </row>
    <row r="4901" spans="25:26">
      <c r="Y4901" s="1354"/>
      <c r="Z4901" s="1060"/>
    </row>
    <row r="4902" spans="25:26">
      <c r="Y4902" s="1354"/>
      <c r="Z4902" s="1060"/>
    </row>
    <row r="4903" spans="25:26">
      <c r="Y4903" s="1354"/>
      <c r="Z4903" s="1060"/>
    </row>
    <row r="4904" spans="25:26">
      <c r="Y4904" s="1354"/>
      <c r="Z4904" s="1060"/>
    </row>
    <row r="4905" spans="25:26">
      <c r="Y4905" s="1354"/>
      <c r="Z4905" s="1060"/>
    </row>
    <row r="4906" spans="25:26">
      <c r="Y4906" s="1354"/>
      <c r="Z4906" s="1060"/>
    </row>
    <row r="4907" spans="25:26">
      <c r="Y4907" s="1354"/>
      <c r="Z4907" s="1060"/>
    </row>
    <row r="4908" spans="25:26">
      <c r="Y4908" s="1354"/>
      <c r="Z4908" s="1060"/>
    </row>
    <row r="4909" spans="25:26">
      <c r="Y4909" s="1354"/>
      <c r="Z4909" s="1060"/>
    </row>
    <row r="4910" spans="25:26">
      <c r="Y4910" s="1354"/>
      <c r="Z4910" s="1060"/>
    </row>
    <row r="4911" spans="25:26">
      <c r="Y4911" s="1354"/>
      <c r="Z4911" s="1060"/>
    </row>
    <row r="4912" spans="25:26">
      <c r="Y4912" s="1354"/>
      <c r="Z4912" s="1060"/>
    </row>
    <row r="4913" spans="25:26">
      <c r="Y4913" s="1354"/>
      <c r="Z4913" s="1060"/>
    </row>
    <row r="4914" spans="25:26">
      <c r="Y4914" s="1354"/>
      <c r="Z4914" s="1060"/>
    </row>
    <row r="4915" spans="25:26">
      <c r="Y4915" s="1354"/>
      <c r="Z4915" s="1060"/>
    </row>
    <row r="4916" spans="25:26">
      <c r="Y4916" s="1354"/>
      <c r="Z4916" s="1060"/>
    </row>
    <row r="4917" spans="25:26">
      <c r="Y4917" s="1354"/>
      <c r="Z4917" s="1060"/>
    </row>
    <row r="4918" spans="25:26">
      <c r="Y4918" s="1354"/>
      <c r="Z4918" s="1060"/>
    </row>
    <row r="4919" spans="25:26">
      <c r="Y4919" s="1354"/>
      <c r="Z4919" s="1060"/>
    </row>
    <row r="4920" spans="25:26">
      <c r="Y4920" s="1354"/>
      <c r="Z4920" s="1060"/>
    </row>
    <row r="4921" spans="25:26">
      <c r="Y4921" s="1354"/>
      <c r="Z4921" s="1060"/>
    </row>
    <row r="4922" spans="25:26">
      <c r="Y4922" s="1354"/>
      <c r="Z4922" s="1060"/>
    </row>
    <row r="4923" spans="25:26">
      <c r="Y4923" s="1354"/>
      <c r="Z4923" s="1060"/>
    </row>
    <row r="4924" spans="25:26">
      <c r="Y4924" s="1354"/>
      <c r="Z4924" s="1060"/>
    </row>
    <row r="4925" spans="25:26">
      <c r="Y4925" s="1354"/>
      <c r="Z4925" s="1060"/>
    </row>
    <row r="4926" spans="25:26">
      <c r="Y4926" s="1354"/>
      <c r="Z4926" s="1060"/>
    </row>
    <row r="4927" spans="25:26">
      <c r="Y4927" s="1354"/>
      <c r="Z4927" s="1060"/>
    </row>
    <row r="4928" spans="25:26">
      <c r="Y4928" s="1354"/>
      <c r="Z4928" s="1060"/>
    </row>
    <row r="4929" spans="25:26">
      <c r="Y4929" s="1354"/>
      <c r="Z4929" s="1060"/>
    </row>
    <row r="4930" spans="25:26">
      <c r="Y4930" s="1354"/>
      <c r="Z4930" s="1060"/>
    </row>
    <row r="4931" spans="25:26">
      <c r="Y4931" s="1354"/>
      <c r="Z4931" s="1060"/>
    </row>
    <row r="4932" spans="25:26">
      <c r="Y4932" s="1354"/>
      <c r="Z4932" s="1060"/>
    </row>
    <row r="4933" spans="25:26">
      <c r="Y4933" s="1354"/>
      <c r="Z4933" s="1060"/>
    </row>
    <row r="4934" spans="25:26">
      <c r="Y4934" s="1354"/>
      <c r="Z4934" s="1060"/>
    </row>
    <row r="4935" spans="25:26">
      <c r="Y4935" s="1354"/>
      <c r="Z4935" s="1060"/>
    </row>
    <row r="4936" spans="25:26">
      <c r="Y4936" s="1354"/>
      <c r="Z4936" s="1060"/>
    </row>
    <row r="4937" spans="25:26">
      <c r="Y4937" s="1354"/>
      <c r="Z4937" s="1060"/>
    </row>
    <row r="4938" spans="25:26">
      <c r="Y4938" s="1354"/>
      <c r="Z4938" s="1060"/>
    </row>
    <row r="4939" spans="25:26">
      <c r="Y4939" s="1354"/>
      <c r="Z4939" s="1060"/>
    </row>
    <row r="4940" spans="25:26">
      <c r="Y4940" s="1354"/>
      <c r="Z4940" s="1060"/>
    </row>
    <row r="4941" spans="25:26">
      <c r="Y4941" s="1354"/>
      <c r="Z4941" s="1060"/>
    </row>
    <row r="4942" spans="25:26">
      <c r="Y4942" s="1354"/>
      <c r="Z4942" s="1060"/>
    </row>
    <row r="4943" spans="25:26">
      <c r="Y4943" s="1354"/>
      <c r="Z4943" s="1060"/>
    </row>
    <row r="4944" spans="25:26">
      <c r="Y4944" s="1354"/>
      <c r="Z4944" s="1060"/>
    </row>
    <row r="4945" spans="25:26">
      <c r="Y4945" s="1354"/>
      <c r="Z4945" s="1060"/>
    </row>
    <row r="4946" spans="25:26">
      <c r="Y4946" s="1354"/>
      <c r="Z4946" s="1060"/>
    </row>
    <row r="4947" spans="25:26">
      <c r="Y4947" s="1354"/>
      <c r="Z4947" s="1060"/>
    </row>
    <row r="4948" spans="25:26">
      <c r="Y4948" s="1354"/>
      <c r="Z4948" s="1060"/>
    </row>
    <row r="4949" spans="25:26">
      <c r="Y4949" s="1354"/>
      <c r="Z4949" s="1060"/>
    </row>
    <row r="4950" spans="25:26">
      <c r="Y4950" s="1354"/>
      <c r="Z4950" s="1060"/>
    </row>
    <row r="4951" spans="25:26">
      <c r="Y4951" s="1354"/>
      <c r="Z4951" s="1060"/>
    </row>
    <row r="4952" spans="25:26">
      <c r="Y4952" s="1354"/>
      <c r="Z4952" s="1060"/>
    </row>
    <row r="4953" spans="25:26">
      <c r="Y4953" s="1354"/>
      <c r="Z4953" s="1060"/>
    </row>
    <row r="4954" spans="25:26">
      <c r="Y4954" s="1354"/>
      <c r="Z4954" s="1060"/>
    </row>
    <row r="4955" spans="25:26">
      <c r="Y4955" s="1354"/>
      <c r="Z4955" s="1060"/>
    </row>
    <row r="4956" spans="25:26">
      <c r="Y4956" s="1354"/>
      <c r="Z4956" s="1060"/>
    </row>
    <row r="4957" spans="25:26">
      <c r="Y4957" s="1354"/>
      <c r="Z4957" s="1060"/>
    </row>
    <row r="4958" spans="25:26">
      <c r="Y4958" s="1354"/>
      <c r="Z4958" s="1060"/>
    </row>
    <row r="4959" spans="25:26">
      <c r="Y4959" s="1354"/>
      <c r="Z4959" s="1060"/>
    </row>
    <row r="4960" spans="25:26">
      <c r="Y4960" s="1354"/>
      <c r="Z4960" s="1060"/>
    </row>
    <row r="4961" spans="25:26">
      <c r="Y4961" s="1354"/>
      <c r="Z4961" s="1060"/>
    </row>
    <row r="4962" spans="25:26">
      <c r="Y4962" s="1354"/>
      <c r="Z4962" s="1060"/>
    </row>
    <row r="4963" spans="25:26">
      <c r="Y4963" s="1354"/>
      <c r="Z4963" s="1060"/>
    </row>
    <row r="4964" spans="25:26">
      <c r="Y4964" s="1354"/>
      <c r="Z4964" s="1060"/>
    </row>
    <row r="4965" spans="25:26">
      <c r="Y4965" s="1354"/>
      <c r="Z4965" s="1060"/>
    </row>
    <row r="4966" spans="25:26">
      <c r="Y4966" s="1354"/>
      <c r="Z4966" s="1060"/>
    </row>
    <row r="4967" spans="25:26">
      <c r="Y4967" s="1354"/>
      <c r="Z4967" s="1060"/>
    </row>
    <row r="4968" spans="25:26">
      <c r="Y4968" s="1354"/>
      <c r="Z4968" s="1060"/>
    </row>
    <row r="4969" spans="25:26">
      <c r="Y4969" s="1354"/>
      <c r="Z4969" s="1060"/>
    </row>
    <row r="4970" spans="25:26">
      <c r="Y4970" s="1354"/>
      <c r="Z4970" s="1060"/>
    </row>
    <row r="4971" spans="25:26">
      <c r="Y4971" s="1354"/>
      <c r="Z4971" s="1060"/>
    </row>
    <row r="4972" spans="25:26">
      <c r="Y4972" s="1354"/>
      <c r="Z4972" s="1060"/>
    </row>
    <row r="4973" spans="25:26">
      <c r="Y4973" s="1354"/>
      <c r="Z4973" s="1060"/>
    </row>
    <row r="4974" spans="25:26">
      <c r="Y4974" s="1354"/>
      <c r="Z4974" s="1060"/>
    </row>
    <row r="4975" spans="25:26">
      <c r="Y4975" s="1354"/>
      <c r="Z4975" s="1060"/>
    </row>
    <row r="4976" spans="25:26">
      <c r="Y4976" s="1354"/>
      <c r="Z4976" s="1060"/>
    </row>
    <row r="4977" spans="25:26">
      <c r="Y4977" s="1354"/>
      <c r="Z4977" s="1060"/>
    </row>
    <row r="4978" spans="25:26">
      <c r="Y4978" s="1354"/>
      <c r="Z4978" s="1060"/>
    </row>
    <row r="4979" spans="25:26">
      <c r="Y4979" s="1354"/>
      <c r="Z4979" s="1060"/>
    </row>
    <row r="4980" spans="25:26">
      <c r="Y4980" s="1354"/>
      <c r="Z4980" s="1060"/>
    </row>
    <row r="4981" spans="25:26">
      <c r="Y4981" s="1354"/>
      <c r="Z4981" s="1060"/>
    </row>
    <row r="4982" spans="25:26">
      <c r="Y4982" s="1354"/>
      <c r="Z4982" s="1060"/>
    </row>
    <row r="4983" spans="25:26">
      <c r="Y4983" s="1354"/>
      <c r="Z4983" s="1060"/>
    </row>
    <row r="4984" spans="25:26">
      <c r="Y4984" s="1354"/>
      <c r="Z4984" s="1060"/>
    </row>
    <row r="4985" spans="25:26">
      <c r="Y4985" s="1354"/>
      <c r="Z4985" s="1060"/>
    </row>
    <row r="4986" spans="25:26">
      <c r="Y4986" s="1354"/>
      <c r="Z4986" s="1060"/>
    </row>
    <row r="4987" spans="25:26">
      <c r="Y4987" s="1354"/>
      <c r="Z4987" s="1060"/>
    </row>
    <row r="4988" spans="25:26">
      <c r="Y4988" s="1354"/>
      <c r="Z4988" s="1060"/>
    </row>
    <row r="4989" spans="25:26">
      <c r="Y4989" s="1354"/>
      <c r="Z4989" s="1060"/>
    </row>
    <row r="4990" spans="25:26">
      <c r="Y4990" s="1354"/>
      <c r="Z4990" s="1060"/>
    </row>
    <row r="4991" spans="25:26">
      <c r="Y4991" s="1354"/>
      <c r="Z4991" s="1060"/>
    </row>
    <row r="4992" spans="25:26">
      <c r="Y4992" s="1354"/>
      <c r="Z4992" s="1060"/>
    </row>
    <row r="4993" spans="25:26">
      <c r="Y4993" s="1354"/>
      <c r="Z4993" s="1060"/>
    </row>
    <row r="4994" spans="25:26">
      <c r="Y4994" s="1354"/>
      <c r="Z4994" s="1060"/>
    </row>
    <row r="4995" spans="25:26">
      <c r="Y4995" s="1354"/>
      <c r="Z4995" s="1060"/>
    </row>
    <row r="4996" spans="25:26">
      <c r="Y4996" s="1354"/>
      <c r="Z4996" s="1060"/>
    </row>
    <row r="4997" spans="25:26">
      <c r="Y4997" s="1354"/>
      <c r="Z4997" s="1060"/>
    </row>
    <row r="4998" spans="25:26">
      <c r="Y4998" s="1354"/>
      <c r="Z4998" s="1060"/>
    </row>
    <row r="4999" spans="25:26">
      <c r="Y4999" s="1354"/>
      <c r="Z4999" s="1060"/>
    </row>
    <row r="5000" spans="25:26">
      <c r="Y5000" s="1354"/>
      <c r="Z5000" s="1060"/>
    </row>
    <row r="5001" spans="25:26">
      <c r="Y5001" s="1354"/>
      <c r="Z5001" s="1060"/>
    </row>
    <row r="5002" spans="25:26">
      <c r="Y5002" s="1354"/>
      <c r="Z5002" s="1060"/>
    </row>
    <row r="5003" spans="25:26">
      <c r="Y5003" s="1354"/>
      <c r="Z5003" s="1060"/>
    </row>
    <row r="5004" spans="25:26">
      <c r="Y5004" s="1354"/>
      <c r="Z5004" s="1060"/>
    </row>
    <row r="5005" spans="25:26">
      <c r="Y5005" s="1354"/>
      <c r="Z5005" s="1060"/>
    </row>
    <row r="5006" spans="25:26">
      <c r="Y5006" s="1354"/>
      <c r="Z5006" s="1060"/>
    </row>
    <row r="5007" spans="25:26">
      <c r="Y5007" s="1354"/>
      <c r="Z5007" s="1060"/>
    </row>
    <row r="5008" spans="25:26">
      <c r="Y5008" s="1354"/>
      <c r="Z5008" s="1060"/>
    </row>
    <row r="5009" spans="25:26">
      <c r="Y5009" s="1354"/>
      <c r="Z5009" s="1060"/>
    </row>
    <row r="5010" spans="25:26">
      <c r="Y5010" s="1354"/>
      <c r="Z5010" s="1060"/>
    </row>
    <row r="5011" spans="25:26">
      <c r="Y5011" s="1354"/>
      <c r="Z5011" s="1060"/>
    </row>
    <row r="5012" spans="25:26">
      <c r="Y5012" s="1354"/>
      <c r="Z5012" s="1060"/>
    </row>
    <row r="5013" spans="25:26">
      <c r="Y5013" s="1354"/>
      <c r="Z5013" s="1060"/>
    </row>
    <row r="5014" spans="25:26">
      <c r="Y5014" s="1354"/>
      <c r="Z5014" s="1060"/>
    </row>
    <row r="5015" spans="25:26">
      <c r="Y5015" s="1354"/>
      <c r="Z5015" s="1060"/>
    </row>
    <row r="5016" spans="25:26">
      <c r="Y5016" s="1354"/>
      <c r="Z5016" s="1060"/>
    </row>
    <row r="5017" spans="25:26">
      <c r="Y5017" s="1354"/>
      <c r="Z5017" s="1060"/>
    </row>
    <row r="5018" spans="25:26">
      <c r="Y5018" s="1354"/>
      <c r="Z5018" s="1060"/>
    </row>
    <row r="5019" spans="25:26">
      <c r="Y5019" s="1354"/>
      <c r="Z5019" s="1060"/>
    </row>
    <row r="5020" spans="25:26">
      <c r="Y5020" s="1354"/>
      <c r="Z5020" s="1060"/>
    </row>
    <row r="5021" spans="25:26">
      <c r="Y5021" s="1354"/>
      <c r="Z5021" s="1060"/>
    </row>
    <row r="5022" spans="25:26">
      <c r="Y5022" s="1354"/>
      <c r="Z5022" s="1060"/>
    </row>
    <row r="5023" spans="25:26">
      <c r="Y5023" s="1354"/>
      <c r="Z5023" s="1060"/>
    </row>
    <row r="5024" spans="25:26">
      <c r="Y5024" s="1354"/>
      <c r="Z5024" s="1060"/>
    </row>
    <row r="5025" spans="25:26">
      <c r="Y5025" s="1354"/>
      <c r="Z5025" s="1060"/>
    </row>
    <row r="5026" spans="25:26">
      <c r="Y5026" s="1354"/>
      <c r="Z5026" s="1060"/>
    </row>
    <row r="5027" spans="25:26">
      <c r="Y5027" s="1354"/>
      <c r="Z5027" s="1060"/>
    </row>
    <row r="5028" spans="25:26">
      <c r="Y5028" s="1354"/>
      <c r="Z5028" s="1060"/>
    </row>
    <row r="5029" spans="25:26">
      <c r="Y5029" s="1354"/>
      <c r="Z5029" s="1060"/>
    </row>
    <row r="5030" spans="25:26">
      <c r="Y5030" s="1354"/>
      <c r="Z5030" s="1060"/>
    </row>
    <row r="5031" spans="25:26">
      <c r="Y5031" s="1354"/>
      <c r="Z5031" s="1060"/>
    </row>
    <row r="5032" spans="25:26">
      <c r="Y5032" s="1354"/>
      <c r="Z5032" s="1060"/>
    </row>
    <row r="5033" spans="25:26">
      <c r="Y5033" s="1354"/>
      <c r="Z5033" s="1060"/>
    </row>
    <row r="5034" spans="25:26">
      <c r="Y5034" s="1354"/>
      <c r="Z5034" s="1060"/>
    </row>
    <row r="5035" spans="25:26">
      <c r="Y5035" s="1354"/>
      <c r="Z5035" s="1060"/>
    </row>
    <row r="5036" spans="25:26">
      <c r="Y5036" s="1354"/>
      <c r="Z5036" s="1060"/>
    </row>
    <row r="5037" spans="25:26">
      <c r="Y5037" s="1354"/>
      <c r="Z5037" s="1060"/>
    </row>
    <row r="5038" spans="25:26">
      <c r="Y5038" s="1354"/>
      <c r="Z5038" s="1060"/>
    </row>
    <row r="5039" spans="25:26">
      <c r="Y5039" s="1354"/>
      <c r="Z5039" s="1060"/>
    </row>
    <row r="5040" spans="25:26">
      <c r="Y5040" s="1354"/>
      <c r="Z5040" s="1060"/>
    </row>
    <row r="5041" spans="25:26">
      <c r="Y5041" s="1354"/>
      <c r="Z5041" s="1060"/>
    </row>
    <row r="5042" spans="25:26">
      <c r="Y5042" s="1354"/>
      <c r="Z5042" s="1060"/>
    </row>
    <row r="5043" spans="25:26">
      <c r="Y5043" s="1354"/>
      <c r="Z5043" s="1060"/>
    </row>
    <row r="5044" spans="25:26">
      <c r="Y5044" s="1354"/>
      <c r="Z5044" s="1060"/>
    </row>
    <row r="5045" spans="25:26">
      <c r="Y5045" s="1354"/>
      <c r="Z5045" s="1060"/>
    </row>
    <row r="5046" spans="25:26">
      <c r="Y5046" s="1354"/>
      <c r="Z5046" s="1060"/>
    </row>
    <row r="5047" spans="25:26">
      <c r="Y5047" s="1354"/>
      <c r="Z5047" s="1060"/>
    </row>
    <row r="5048" spans="25:26">
      <c r="Y5048" s="1354"/>
      <c r="Z5048" s="1060"/>
    </row>
    <row r="5049" spans="25:26">
      <c r="Y5049" s="1354"/>
      <c r="Z5049" s="1060"/>
    </row>
    <row r="5050" spans="25:26">
      <c r="Y5050" s="1354"/>
      <c r="Z5050" s="1060"/>
    </row>
    <row r="5051" spans="25:26">
      <c r="Y5051" s="1354"/>
      <c r="Z5051" s="1060"/>
    </row>
    <row r="5052" spans="25:26">
      <c r="Y5052" s="1354"/>
      <c r="Z5052" s="1060"/>
    </row>
    <row r="5053" spans="25:26">
      <c r="Y5053" s="1354"/>
      <c r="Z5053" s="1060"/>
    </row>
    <row r="5054" spans="25:26">
      <c r="Y5054" s="1354"/>
      <c r="Z5054" s="1060"/>
    </row>
    <row r="5055" spans="25:26">
      <c r="Y5055" s="1354"/>
      <c r="Z5055" s="1060"/>
    </row>
    <row r="5056" spans="25:26">
      <c r="Y5056" s="1354"/>
      <c r="Z5056" s="1060"/>
    </row>
    <row r="5057" spans="25:26">
      <c r="Y5057" s="1354"/>
      <c r="Z5057" s="1060"/>
    </row>
    <row r="5058" spans="25:26">
      <c r="Y5058" s="1354"/>
      <c r="Z5058" s="1060"/>
    </row>
    <row r="5059" spans="25:26">
      <c r="Y5059" s="1354"/>
      <c r="Z5059" s="1060"/>
    </row>
    <row r="5060" spans="25:26">
      <c r="Y5060" s="1354"/>
      <c r="Z5060" s="1060"/>
    </row>
    <row r="5061" spans="25:26">
      <c r="Y5061" s="1354"/>
      <c r="Z5061" s="1060"/>
    </row>
    <row r="5062" spans="25:26">
      <c r="Y5062" s="1354"/>
      <c r="Z5062" s="1060"/>
    </row>
    <row r="5063" spans="25:26">
      <c r="Y5063" s="1354"/>
      <c r="Z5063" s="1060"/>
    </row>
    <row r="5064" spans="25:26">
      <c r="Y5064" s="1354"/>
      <c r="Z5064" s="1060"/>
    </row>
    <row r="5065" spans="25:26">
      <c r="Y5065" s="1354"/>
      <c r="Z5065" s="1060"/>
    </row>
    <row r="5066" spans="25:26">
      <c r="Y5066" s="1354"/>
      <c r="Z5066" s="1060"/>
    </row>
    <row r="5067" spans="25:26">
      <c r="Y5067" s="1354"/>
      <c r="Z5067" s="1060"/>
    </row>
    <row r="5068" spans="25:26">
      <c r="Y5068" s="1354"/>
      <c r="Z5068" s="1060"/>
    </row>
    <row r="5069" spans="25:26">
      <c r="Y5069" s="1354"/>
      <c r="Z5069" s="1060"/>
    </row>
    <row r="5070" spans="25:26">
      <c r="Y5070" s="1354"/>
      <c r="Z5070" s="1060"/>
    </row>
    <row r="5071" spans="25:26">
      <c r="Y5071" s="1354"/>
      <c r="Z5071" s="1060"/>
    </row>
    <row r="5072" spans="25:26">
      <c r="Y5072" s="1354"/>
      <c r="Z5072" s="1060"/>
    </row>
    <row r="5073" spans="25:26">
      <c r="Y5073" s="1354"/>
      <c r="Z5073" s="1060"/>
    </row>
    <row r="5074" spans="25:26">
      <c r="Y5074" s="1354"/>
      <c r="Z5074" s="1060"/>
    </row>
    <row r="5075" spans="25:26">
      <c r="Y5075" s="1354"/>
      <c r="Z5075" s="1060"/>
    </row>
    <row r="5076" spans="25:26">
      <c r="Y5076" s="1354"/>
      <c r="Z5076" s="1060"/>
    </row>
    <row r="5077" spans="25:26">
      <c r="Y5077" s="1354"/>
      <c r="Z5077" s="1060"/>
    </row>
    <row r="5078" spans="25:26">
      <c r="Y5078" s="1354"/>
      <c r="Z5078" s="1060"/>
    </row>
    <row r="5079" spans="25:26">
      <c r="Y5079" s="1354"/>
      <c r="Z5079" s="1060"/>
    </row>
    <row r="5080" spans="25:26">
      <c r="Y5080" s="1354"/>
      <c r="Z5080" s="1060"/>
    </row>
    <row r="5081" spans="25:26">
      <c r="Y5081" s="1354"/>
      <c r="Z5081" s="1060"/>
    </row>
    <row r="5082" spans="25:26">
      <c r="Y5082" s="1354"/>
      <c r="Z5082" s="1060"/>
    </row>
    <row r="5083" spans="25:26">
      <c r="Y5083" s="1354"/>
      <c r="Z5083" s="1060"/>
    </row>
    <row r="5084" spans="25:26">
      <c r="Y5084" s="1354"/>
      <c r="Z5084" s="1060"/>
    </row>
    <row r="5085" spans="25:26">
      <c r="Y5085" s="1354"/>
      <c r="Z5085" s="1060"/>
    </row>
    <row r="5086" spans="25:26">
      <c r="Y5086" s="1354"/>
      <c r="Z5086" s="1060"/>
    </row>
    <row r="5087" spans="25:26">
      <c r="Y5087" s="1354"/>
      <c r="Z5087" s="1060"/>
    </row>
    <row r="5088" spans="25:26">
      <c r="Y5088" s="1354"/>
      <c r="Z5088" s="1060"/>
    </row>
    <row r="5089" spans="25:26">
      <c r="Y5089" s="1354"/>
      <c r="Z5089" s="1060"/>
    </row>
    <row r="5090" spans="25:26">
      <c r="Y5090" s="1354"/>
      <c r="Z5090" s="1060"/>
    </row>
    <row r="5091" spans="25:26">
      <c r="Y5091" s="1354"/>
      <c r="Z5091" s="1060"/>
    </row>
    <row r="5092" spans="25:26">
      <c r="Y5092" s="1354"/>
      <c r="Z5092" s="1060"/>
    </row>
    <row r="5093" spans="25:26">
      <c r="Y5093" s="1354"/>
      <c r="Z5093" s="1060"/>
    </row>
    <row r="5094" spans="25:26">
      <c r="Y5094" s="1354"/>
      <c r="Z5094" s="1060"/>
    </row>
    <row r="5095" spans="25:26">
      <c r="Y5095" s="1354"/>
      <c r="Z5095" s="1060"/>
    </row>
    <row r="5096" spans="25:26">
      <c r="Y5096" s="1354"/>
      <c r="Z5096" s="1060"/>
    </row>
    <row r="5097" spans="25:26">
      <c r="Y5097" s="1354"/>
      <c r="Z5097" s="1060"/>
    </row>
    <row r="5098" spans="25:26">
      <c r="Y5098" s="1354"/>
      <c r="Z5098" s="1060"/>
    </row>
    <row r="5099" spans="25:26">
      <c r="Y5099" s="1354"/>
      <c r="Z5099" s="1060"/>
    </row>
    <row r="5100" spans="25:26">
      <c r="Y5100" s="1354"/>
      <c r="Z5100" s="1060"/>
    </row>
    <row r="5101" spans="25:26">
      <c r="Y5101" s="1354"/>
      <c r="Z5101" s="1060"/>
    </row>
    <row r="5102" spans="25:26">
      <c r="Y5102" s="1354"/>
      <c r="Z5102" s="1060"/>
    </row>
    <row r="5103" spans="25:26">
      <c r="Y5103" s="1354"/>
      <c r="Z5103" s="1060"/>
    </row>
    <row r="5104" spans="25:26">
      <c r="Y5104" s="1354"/>
      <c r="Z5104" s="1060"/>
    </row>
    <row r="5105" spans="25:26">
      <c r="Y5105" s="1354"/>
      <c r="Z5105" s="1060"/>
    </row>
    <row r="5106" spans="25:26">
      <c r="Y5106" s="1354"/>
      <c r="Z5106" s="1060"/>
    </row>
    <row r="5107" spans="25:26">
      <c r="Y5107" s="1354"/>
      <c r="Z5107" s="1060"/>
    </row>
    <row r="5108" spans="25:26">
      <c r="Y5108" s="1354"/>
      <c r="Z5108" s="1060"/>
    </row>
    <row r="5109" spans="25:26">
      <c r="Y5109" s="1354"/>
      <c r="Z5109" s="1060"/>
    </row>
    <row r="5110" spans="25:26">
      <c r="Y5110" s="1354"/>
      <c r="Z5110" s="1060"/>
    </row>
    <row r="5111" spans="25:26">
      <c r="Y5111" s="1354"/>
      <c r="Z5111" s="1060"/>
    </row>
    <row r="5112" spans="25:26">
      <c r="Y5112" s="1354"/>
      <c r="Z5112" s="1060"/>
    </row>
    <row r="5113" spans="25:26">
      <c r="Y5113" s="1354"/>
      <c r="Z5113" s="1060"/>
    </row>
    <row r="5114" spans="25:26">
      <c r="Y5114" s="1354"/>
      <c r="Z5114" s="1060"/>
    </row>
    <row r="5115" spans="25:26">
      <c r="Y5115" s="1354"/>
      <c r="Z5115" s="1060"/>
    </row>
    <row r="5116" spans="25:26">
      <c r="Y5116" s="1354"/>
      <c r="Z5116" s="1060"/>
    </row>
    <row r="5117" spans="25:26">
      <c r="Y5117" s="1354"/>
      <c r="Z5117" s="1060"/>
    </row>
    <row r="5118" spans="25:26">
      <c r="Y5118" s="1354"/>
      <c r="Z5118" s="1060"/>
    </row>
    <row r="5119" spans="25:26">
      <c r="Y5119" s="1354"/>
      <c r="Z5119" s="1060"/>
    </row>
    <row r="5120" spans="25:26">
      <c r="Y5120" s="1354"/>
      <c r="Z5120" s="1060"/>
    </row>
    <row r="5121" spans="25:26">
      <c r="Y5121" s="1354"/>
      <c r="Z5121" s="1060"/>
    </row>
    <row r="5122" spans="25:26">
      <c r="Y5122" s="1354"/>
      <c r="Z5122" s="1060"/>
    </row>
    <row r="5123" spans="25:26">
      <c r="Y5123" s="1354"/>
      <c r="Z5123" s="1060"/>
    </row>
    <row r="5124" spans="25:26">
      <c r="Y5124" s="1354"/>
      <c r="Z5124" s="1060"/>
    </row>
    <row r="5125" spans="25:26">
      <c r="Y5125" s="1354"/>
      <c r="Z5125" s="1060"/>
    </row>
    <row r="5126" spans="25:26">
      <c r="Y5126" s="1354"/>
      <c r="Z5126" s="1060"/>
    </row>
    <row r="5127" spans="25:26">
      <c r="Y5127" s="1354"/>
      <c r="Z5127" s="1060"/>
    </row>
    <row r="5128" spans="25:26">
      <c r="Y5128" s="1354"/>
      <c r="Z5128" s="1060"/>
    </row>
    <row r="5129" spans="25:26">
      <c r="Y5129" s="1354"/>
      <c r="Z5129" s="1060"/>
    </row>
    <row r="5130" spans="25:26">
      <c r="Y5130" s="1354"/>
      <c r="Z5130" s="1060"/>
    </row>
    <row r="5131" spans="25:26">
      <c r="Y5131" s="1354"/>
      <c r="Z5131" s="1060"/>
    </row>
    <row r="5132" spans="25:26">
      <c r="Y5132" s="1354"/>
      <c r="Z5132" s="1060"/>
    </row>
    <row r="5133" spans="25:26">
      <c r="Y5133" s="1354"/>
      <c r="Z5133" s="1060"/>
    </row>
    <row r="5134" spans="25:26">
      <c r="Y5134" s="1354"/>
      <c r="Z5134" s="1060"/>
    </row>
    <row r="5135" spans="25:26">
      <c r="Y5135" s="1354"/>
      <c r="Z5135" s="1060"/>
    </row>
    <row r="5136" spans="25:26">
      <c r="Y5136" s="1354"/>
      <c r="Z5136" s="1060"/>
    </row>
    <row r="5137" spans="25:26">
      <c r="Y5137" s="1354"/>
      <c r="Z5137" s="1060"/>
    </row>
    <row r="5138" spans="25:26">
      <c r="Y5138" s="1354"/>
      <c r="Z5138" s="1060"/>
    </row>
    <row r="5139" spans="25:26">
      <c r="Y5139" s="1354"/>
      <c r="Z5139" s="1060"/>
    </row>
    <row r="5140" spans="25:26">
      <c r="Y5140" s="1354"/>
      <c r="Z5140" s="1060"/>
    </row>
    <row r="5141" spans="25:26">
      <c r="Y5141" s="1354"/>
      <c r="Z5141" s="1060"/>
    </row>
    <row r="5142" spans="25:26">
      <c r="Y5142" s="1354"/>
      <c r="Z5142" s="1060"/>
    </row>
    <row r="5143" spans="25:26">
      <c r="Y5143" s="1354"/>
      <c r="Z5143" s="1060"/>
    </row>
    <row r="5144" spans="25:26">
      <c r="Y5144" s="1354"/>
      <c r="Z5144" s="1060"/>
    </row>
    <row r="5145" spans="25:26">
      <c r="Y5145" s="1354"/>
      <c r="Z5145" s="1060"/>
    </row>
    <row r="5146" spans="25:26">
      <c r="Y5146" s="1354"/>
      <c r="Z5146" s="1060"/>
    </row>
    <row r="5147" spans="25:26">
      <c r="Y5147" s="1354"/>
      <c r="Z5147" s="1060"/>
    </row>
    <row r="5148" spans="25:26">
      <c r="Y5148" s="1354"/>
      <c r="Z5148" s="1060"/>
    </row>
    <row r="5149" spans="25:26">
      <c r="Y5149" s="1354"/>
      <c r="Z5149" s="1060"/>
    </row>
    <row r="5150" spans="25:26">
      <c r="Y5150" s="1354"/>
      <c r="Z5150" s="1060"/>
    </row>
    <row r="5151" spans="25:26">
      <c r="Y5151" s="1354"/>
      <c r="Z5151" s="1060"/>
    </row>
    <row r="5152" spans="25:26">
      <c r="Y5152" s="1354"/>
      <c r="Z5152" s="1060"/>
    </row>
    <row r="5153" spans="25:26">
      <c r="Y5153" s="1354"/>
      <c r="Z5153" s="1060"/>
    </row>
    <row r="5154" spans="25:26">
      <c r="Y5154" s="1354"/>
      <c r="Z5154" s="1060"/>
    </row>
    <row r="5155" spans="25:26">
      <c r="Y5155" s="1354"/>
      <c r="Z5155" s="1060"/>
    </row>
    <row r="5156" spans="25:26">
      <c r="Y5156" s="1354"/>
      <c r="Z5156" s="1060"/>
    </row>
    <row r="5157" spans="25:26">
      <c r="Y5157" s="1354"/>
      <c r="Z5157" s="1060"/>
    </row>
    <row r="5158" spans="25:26">
      <c r="Y5158" s="1354"/>
      <c r="Z5158" s="1060"/>
    </row>
    <row r="5159" spans="25:26">
      <c r="Y5159" s="1354"/>
      <c r="Z5159" s="1060"/>
    </row>
    <row r="5160" spans="25:26">
      <c r="Y5160" s="1354"/>
      <c r="Z5160" s="1060"/>
    </row>
    <row r="5161" spans="25:26">
      <c r="Y5161" s="1354"/>
      <c r="Z5161" s="1060"/>
    </row>
    <row r="5162" spans="25:26">
      <c r="Y5162" s="1354"/>
      <c r="Z5162" s="1060"/>
    </row>
    <row r="5163" spans="25:26">
      <c r="Y5163" s="1354"/>
      <c r="Z5163" s="1060"/>
    </row>
    <row r="5164" spans="25:26">
      <c r="Y5164" s="1354"/>
      <c r="Z5164" s="1060"/>
    </row>
    <row r="5165" spans="25:26">
      <c r="Y5165" s="1354"/>
      <c r="Z5165" s="1060"/>
    </row>
    <row r="5166" spans="25:26">
      <c r="Y5166" s="1354"/>
      <c r="Z5166" s="1060"/>
    </row>
    <row r="5167" spans="25:26">
      <c r="Y5167" s="1354"/>
      <c r="Z5167" s="1060"/>
    </row>
    <row r="5168" spans="25:26">
      <c r="Y5168" s="1354"/>
      <c r="Z5168" s="1060"/>
    </row>
    <row r="5169" spans="25:26">
      <c r="Y5169" s="1354"/>
      <c r="Z5169" s="1060"/>
    </row>
    <row r="5170" spans="25:26">
      <c r="Y5170" s="1354"/>
      <c r="Z5170" s="1060"/>
    </row>
    <row r="5171" spans="25:26">
      <c r="Y5171" s="1354"/>
      <c r="Z5171" s="1060"/>
    </row>
    <row r="5172" spans="25:26">
      <c r="Y5172" s="1354"/>
      <c r="Z5172" s="1060"/>
    </row>
    <row r="5173" spans="25:26">
      <c r="Y5173" s="1354"/>
      <c r="Z5173" s="1060"/>
    </row>
    <row r="5174" spans="25:26">
      <c r="Y5174" s="1354"/>
      <c r="Z5174" s="1060"/>
    </row>
    <row r="5175" spans="25:26">
      <c r="Y5175" s="1354"/>
      <c r="Z5175" s="1060"/>
    </row>
    <row r="5176" spans="25:26">
      <c r="Y5176" s="1354"/>
      <c r="Z5176" s="1060"/>
    </row>
    <row r="5177" spans="25:26">
      <c r="Y5177" s="1354"/>
      <c r="Z5177" s="1060"/>
    </row>
    <row r="5178" spans="25:26">
      <c r="Y5178" s="1354"/>
      <c r="Z5178" s="1060"/>
    </row>
    <row r="5179" spans="25:26">
      <c r="Y5179" s="1354"/>
      <c r="Z5179" s="1060"/>
    </row>
    <row r="5180" spans="25:26">
      <c r="Y5180" s="1354"/>
      <c r="Z5180" s="1060"/>
    </row>
    <row r="5181" spans="25:26">
      <c r="Y5181" s="1354"/>
      <c r="Z5181" s="1060"/>
    </row>
    <row r="5182" spans="25:26">
      <c r="Y5182" s="1354"/>
      <c r="Z5182" s="1060"/>
    </row>
    <row r="5183" spans="25:26">
      <c r="Y5183" s="1354"/>
      <c r="Z5183" s="1060"/>
    </row>
    <row r="5184" spans="25:26">
      <c r="Y5184" s="1354"/>
      <c r="Z5184" s="1060"/>
    </row>
    <row r="5185" spans="25:26">
      <c r="Y5185" s="1354"/>
      <c r="Z5185" s="1060"/>
    </row>
    <row r="5186" spans="25:26">
      <c r="Y5186" s="1354"/>
      <c r="Z5186" s="1060"/>
    </row>
    <row r="5187" spans="25:26">
      <c r="Y5187" s="1354"/>
      <c r="Z5187" s="1060"/>
    </row>
    <row r="5188" spans="25:26">
      <c r="Y5188" s="1354"/>
      <c r="Z5188" s="1060"/>
    </row>
    <row r="5189" spans="25:26">
      <c r="Y5189" s="1354"/>
      <c r="Z5189" s="1060"/>
    </row>
    <row r="5190" spans="25:26">
      <c r="Y5190" s="1354"/>
      <c r="Z5190" s="1060"/>
    </row>
    <row r="5191" spans="25:26">
      <c r="Y5191" s="1354"/>
      <c r="Z5191" s="1060"/>
    </row>
    <row r="5192" spans="25:26">
      <c r="Y5192" s="1354"/>
      <c r="Z5192" s="1060"/>
    </row>
    <row r="5193" spans="25:26">
      <c r="Y5193" s="1354"/>
      <c r="Z5193" s="1060"/>
    </row>
    <row r="5194" spans="25:26">
      <c r="Y5194" s="1354"/>
      <c r="Z5194" s="1060"/>
    </row>
    <row r="5195" spans="25:26">
      <c r="Y5195" s="1354"/>
      <c r="Z5195" s="1060"/>
    </row>
    <row r="5196" spans="25:26">
      <c r="Y5196" s="1354"/>
      <c r="Z5196" s="1060"/>
    </row>
    <row r="5197" spans="25:26">
      <c r="Y5197" s="1354"/>
      <c r="Z5197" s="1060"/>
    </row>
    <row r="5198" spans="25:26">
      <c r="Y5198" s="1354"/>
      <c r="Z5198" s="1060"/>
    </row>
    <row r="5199" spans="25:26">
      <c r="Y5199" s="1354"/>
      <c r="Z5199" s="1060"/>
    </row>
    <row r="5200" spans="25:26">
      <c r="Y5200" s="1354"/>
      <c r="Z5200" s="1060"/>
    </row>
    <row r="5201" spans="25:26">
      <c r="Y5201" s="1354"/>
      <c r="Z5201" s="1060"/>
    </row>
    <row r="5202" spans="25:26">
      <c r="Y5202" s="1354"/>
      <c r="Z5202" s="1060"/>
    </row>
    <row r="5203" spans="25:26">
      <c r="Y5203" s="1354"/>
      <c r="Z5203" s="1060"/>
    </row>
    <row r="5204" spans="25:26">
      <c r="Y5204" s="1354"/>
      <c r="Z5204" s="1060"/>
    </row>
    <row r="5205" spans="25:26">
      <c r="Y5205" s="1354"/>
      <c r="Z5205" s="1060"/>
    </row>
    <row r="5206" spans="25:26">
      <c r="Y5206" s="1354"/>
      <c r="Z5206" s="1060"/>
    </row>
    <row r="5207" spans="25:26">
      <c r="Y5207" s="1354"/>
      <c r="Z5207" s="1060"/>
    </row>
    <row r="5208" spans="25:26">
      <c r="Y5208" s="1354"/>
      <c r="Z5208" s="1060"/>
    </row>
    <row r="5209" spans="25:26">
      <c r="Y5209" s="1354"/>
      <c r="Z5209" s="1060"/>
    </row>
    <row r="5210" spans="25:26">
      <c r="Y5210" s="1354"/>
      <c r="Z5210" s="1060"/>
    </row>
    <row r="5211" spans="25:26">
      <c r="Y5211" s="1354"/>
      <c r="Z5211" s="1060"/>
    </row>
    <row r="5212" spans="25:26">
      <c r="Y5212" s="1354"/>
      <c r="Z5212" s="1060"/>
    </row>
    <row r="5213" spans="25:26">
      <c r="Y5213" s="1354"/>
      <c r="Z5213" s="1060"/>
    </row>
    <row r="5214" spans="25:26">
      <c r="Y5214" s="1354"/>
      <c r="Z5214" s="1060"/>
    </row>
    <row r="5215" spans="25:26">
      <c r="Y5215" s="1354"/>
      <c r="Z5215" s="1060"/>
    </row>
    <row r="5216" spans="25:26">
      <c r="Y5216" s="1354"/>
      <c r="Z5216" s="1060"/>
    </row>
    <row r="5217" spans="25:26">
      <c r="Y5217" s="1354"/>
      <c r="Z5217" s="1060"/>
    </row>
    <row r="5218" spans="25:26">
      <c r="Y5218" s="1354"/>
      <c r="Z5218" s="1060"/>
    </row>
    <row r="5219" spans="25:26">
      <c r="Y5219" s="1354"/>
      <c r="Z5219" s="1060"/>
    </row>
    <row r="5220" spans="25:26">
      <c r="Y5220" s="1354"/>
      <c r="Z5220" s="1060"/>
    </row>
    <row r="5221" spans="25:26">
      <c r="Y5221" s="1354"/>
      <c r="Z5221" s="1060"/>
    </row>
    <row r="5222" spans="25:26">
      <c r="Y5222" s="1354"/>
      <c r="Z5222" s="1060"/>
    </row>
    <row r="5223" spans="25:26">
      <c r="Y5223" s="1354"/>
      <c r="Z5223" s="1060"/>
    </row>
    <row r="5224" spans="25:26">
      <c r="Y5224" s="1354"/>
      <c r="Z5224" s="1060"/>
    </row>
    <row r="5225" spans="25:26">
      <c r="Y5225" s="1354"/>
      <c r="Z5225" s="1060"/>
    </row>
    <row r="5226" spans="25:26">
      <c r="Y5226" s="1354"/>
      <c r="Z5226" s="1060"/>
    </row>
    <row r="5227" spans="25:26">
      <c r="Y5227" s="1354"/>
      <c r="Z5227" s="1060"/>
    </row>
    <row r="5228" spans="25:26">
      <c r="Y5228" s="1354"/>
      <c r="Z5228" s="1060"/>
    </row>
    <row r="5229" spans="25:26">
      <c r="Y5229" s="1354"/>
      <c r="Z5229" s="1060"/>
    </row>
    <row r="5230" spans="25:26">
      <c r="Y5230" s="1354"/>
      <c r="Z5230" s="1060"/>
    </row>
    <row r="5231" spans="25:26">
      <c r="Y5231" s="1354"/>
      <c r="Z5231" s="1060"/>
    </row>
    <row r="5232" spans="25:26">
      <c r="Y5232" s="1354"/>
      <c r="Z5232" s="1060"/>
    </row>
    <row r="5233" spans="25:26">
      <c r="Y5233" s="1354"/>
      <c r="Z5233" s="1060"/>
    </row>
    <row r="5234" spans="25:26">
      <c r="Y5234" s="1354"/>
      <c r="Z5234" s="1060"/>
    </row>
    <row r="5235" spans="25:26">
      <c r="Y5235" s="1354"/>
      <c r="Z5235" s="1060"/>
    </row>
    <row r="5236" spans="25:26">
      <c r="Y5236" s="1354"/>
      <c r="Z5236" s="1060"/>
    </row>
    <row r="5237" spans="25:26">
      <c r="Y5237" s="1354"/>
      <c r="Z5237" s="1060"/>
    </row>
    <row r="5238" spans="25:26">
      <c r="Y5238" s="1354"/>
      <c r="Z5238" s="1060"/>
    </row>
    <row r="5239" spans="25:26">
      <c r="Y5239" s="1354"/>
      <c r="Z5239" s="1060"/>
    </row>
    <row r="5240" spans="25:26">
      <c r="Y5240" s="1354"/>
      <c r="Z5240" s="1060"/>
    </row>
    <row r="5241" spans="25:26">
      <c r="Y5241" s="1354"/>
      <c r="Z5241" s="1060"/>
    </row>
    <row r="5242" spans="25:26">
      <c r="Y5242" s="1354"/>
      <c r="Z5242" s="1060"/>
    </row>
    <row r="5243" spans="25:26">
      <c r="Y5243" s="1354"/>
      <c r="Z5243" s="1060"/>
    </row>
    <row r="5244" spans="25:26">
      <c r="Y5244" s="1354"/>
      <c r="Z5244" s="1060"/>
    </row>
    <row r="5245" spans="25:26">
      <c r="Y5245" s="1354"/>
      <c r="Z5245" s="1060"/>
    </row>
    <row r="5246" spans="25:26">
      <c r="Y5246" s="1354"/>
      <c r="Z5246" s="1060"/>
    </row>
    <row r="5247" spans="25:26">
      <c r="Y5247" s="1354"/>
      <c r="Z5247" s="1060"/>
    </row>
    <row r="5248" spans="25:26">
      <c r="Y5248" s="1354"/>
      <c r="Z5248" s="1060"/>
    </row>
    <row r="5249" spans="25:26">
      <c r="Y5249" s="1354"/>
      <c r="Z5249" s="1060"/>
    </row>
    <row r="5250" spans="25:26">
      <c r="Y5250" s="1354"/>
      <c r="Z5250" s="1060"/>
    </row>
    <row r="5251" spans="25:26">
      <c r="Y5251" s="1354"/>
      <c r="Z5251" s="1060"/>
    </row>
    <row r="5252" spans="25:26">
      <c r="Y5252" s="1354"/>
      <c r="Z5252" s="1060"/>
    </row>
    <row r="5253" spans="25:26">
      <c r="Y5253" s="1354"/>
      <c r="Z5253" s="1060"/>
    </row>
    <row r="5254" spans="25:26">
      <c r="Y5254" s="1354"/>
      <c r="Z5254" s="1060"/>
    </row>
    <row r="5255" spans="25:26">
      <c r="Y5255" s="1354"/>
      <c r="Z5255" s="1060"/>
    </row>
    <row r="5256" spans="25:26">
      <c r="Y5256" s="1354"/>
      <c r="Z5256" s="1060"/>
    </row>
    <row r="5257" spans="25:26">
      <c r="Y5257" s="1354"/>
      <c r="Z5257" s="1060"/>
    </row>
    <row r="5258" spans="25:26">
      <c r="Y5258" s="1354"/>
      <c r="Z5258" s="1060"/>
    </row>
    <row r="5259" spans="25:26">
      <c r="Y5259" s="1354"/>
      <c r="Z5259" s="1060"/>
    </row>
    <row r="5260" spans="25:26">
      <c r="Y5260" s="1354"/>
      <c r="Z5260" s="1060"/>
    </row>
    <row r="5261" spans="25:26">
      <c r="Y5261" s="1354"/>
      <c r="Z5261" s="1060"/>
    </row>
    <row r="5262" spans="25:26">
      <c r="Y5262" s="1354"/>
      <c r="Z5262" s="1060"/>
    </row>
    <row r="5263" spans="25:26">
      <c r="Y5263" s="1354"/>
      <c r="Z5263" s="1060"/>
    </row>
    <row r="5264" spans="25:26">
      <c r="Y5264" s="1354"/>
      <c r="Z5264" s="1060"/>
    </row>
    <row r="5265" spans="25:26">
      <c r="Y5265" s="1354"/>
      <c r="Z5265" s="1060"/>
    </row>
    <row r="5266" spans="25:26">
      <c r="Y5266" s="1354"/>
      <c r="Z5266" s="1060"/>
    </row>
    <row r="5267" spans="25:26">
      <c r="Y5267" s="1354"/>
      <c r="Z5267" s="1060"/>
    </row>
    <row r="5268" spans="25:26">
      <c r="Y5268" s="1354"/>
      <c r="Z5268" s="1060"/>
    </row>
    <row r="5269" spans="25:26">
      <c r="Y5269" s="1354"/>
      <c r="Z5269" s="1060"/>
    </row>
    <row r="5270" spans="25:26">
      <c r="Y5270" s="1354"/>
      <c r="Z5270" s="1060"/>
    </row>
    <row r="5271" spans="25:26">
      <c r="Y5271" s="1354"/>
      <c r="Z5271" s="1060"/>
    </row>
    <row r="5272" spans="25:26">
      <c r="Y5272" s="1354"/>
      <c r="Z5272" s="1060"/>
    </row>
    <row r="5273" spans="25:26">
      <c r="Y5273" s="1354"/>
      <c r="Z5273" s="1060"/>
    </row>
    <row r="5274" spans="25:26">
      <c r="Y5274" s="1354"/>
      <c r="Z5274" s="1060"/>
    </row>
    <row r="5275" spans="25:26">
      <c r="Y5275" s="1354"/>
      <c r="Z5275" s="1060"/>
    </row>
    <row r="5276" spans="25:26">
      <c r="Y5276" s="1354"/>
      <c r="Z5276" s="1060"/>
    </row>
    <row r="5277" spans="25:26">
      <c r="Y5277" s="1354"/>
      <c r="Z5277" s="1060"/>
    </row>
    <row r="5278" spans="25:26">
      <c r="Y5278" s="1354"/>
      <c r="Z5278" s="1060"/>
    </row>
    <row r="5279" spans="25:26">
      <c r="Y5279" s="1354"/>
      <c r="Z5279" s="1060"/>
    </row>
    <row r="5280" spans="25:26">
      <c r="Y5280" s="1354"/>
      <c r="Z5280" s="1060"/>
    </row>
    <row r="5281" spans="25:26">
      <c r="Y5281" s="1354"/>
      <c r="Z5281" s="1060"/>
    </row>
    <row r="5282" spans="25:26">
      <c r="Y5282" s="1354"/>
      <c r="Z5282" s="1060"/>
    </row>
    <row r="5283" spans="25:26">
      <c r="Y5283" s="1354"/>
      <c r="Z5283" s="1060"/>
    </row>
    <row r="5284" spans="25:26">
      <c r="Y5284" s="1354"/>
      <c r="Z5284" s="1060"/>
    </row>
    <row r="5285" spans="25:26">
      <c r="Y5285" s="1354"/>
      <c r="Z5285" s="1060"/>
    </row>
    <row r="5286" spans="25:26">
      <c r="Y5286" s="1354"/>
      <c r="Z5286" s="1060"/>
    </row>
    <row r="5287" spans="25:26">
      <c r="Y5287" s="1354"/>
      <c r="Z5287" s="1060"/>
    </row>
    <row r="5288" spans="25:26">
      <c r="Y5288" s="1354"/>
      <c r="Z5288" s="1060"/>
    </row>
    <row r="5289" spans="25:26">
      <c r="Y5289" s="1354"/>
      <c r="Z5289" s="1060"/>
    </row>
    <row r="5290" spans="25:26">
      <c r="Y5290" s="1354"/>
      <c r="Z5290" s="1060"/>
    </row>
    <row r="5291" spans="25:26">
      <c r="Y5291" s="1354"/>
      <c r="Z5291" s="1060"/>
    </row>
    <row r="5292" spans="25:26">
      <c r="Y5292" s="1354"/>
      <c r="Z5292" s="1060"/>
    </row>
    <row r="5293" spans="25:26">
      <c r="Y5293" s="1354"/>
      <c r="Z5293" s="1060"/>
    </row>
    <row r="5294" spans="25:26">
      <c r="Y5294" s="1354"/>
      <c r="Z5294" s="1060"/>
    </row>
    <row r="5295" spans="25:26">
      <c r="Y5295" s="1354"/>
      <c r="Z5295" s="1060"/>
    </row>
    <row r="5296" spans="25:26">
      <c r="Y5296" s="1354"/>
      <c r="Z5296" s="1060"/>
    </row>
    <row r="5297" spans="25:26">
      <c r="Y5297" s="1354"/>
      <c r="Z5297" s="1060"/>
    </row>
    <row r="5298" spans="25:26">
      <c r="Y5298" s="1354"/>
      <c r="Z5298" s="1060"/>
    </row>
    <row r="5299" spans="25:26">
      <c r="Y5299" s="1354"/>
      <c r="Z5299" s="1060"/>
    </row>
    <row r="5300" spans="25:26">
      <c r="Y5300" s="1354"/>
      <c r="Z5300" s="1060"/>
    </row>
    <row r="5301" spans="25:26">
      <c r="Y5301" s="1354"/>
      <c r="Z5301" s="1060"/>
    </row>
    <row r="5302" spans="25:26">
      <c r="Y5302" s="1354"/>
      <c r="Z5302" s="1060"/>
    </row>
    <row r="5303" spans="25:26">
      <c r="Y5303" s="1354"/>
      <c r="Z5303" s="1060"/>
    </row>
    <row r="5304" spans="25:26">
      <c r="Y5304" s="1354"/>
      <c r="Z5304" s="1060"/>
    </row>
    <row r="5305" spans="25:26">
      <c r="Y5305" s="1354"/>
      <c r="Z5305" s="1060"/>
    </row>
    <row r="5306" spans="25:26">
      <c r="Y5306" s="1354"/>
      <c r="Z5306" s="1060"/>
    </row>
    <row r="5307" spans="25:26">
      <c r="Y5307" s="1354"/>
      <c r="Z5307" s="1060"/>
    </row>
    <row r="5308" spans="25:26">
      <c r="Y5308" s="1354"/>
      <c r="Z5308" s="1060"/>
    </row>
    <row r="5309" spans="25:26">
      <c r="Y5309" s="1354"/>
      <c r="Z5309" s="1060"/>
    </row>
    <row r="5310" spans="25:26">
      <c r="Y5310" s="1354"/>
      <c r="Z5310" s="1060"/>
    </row>
    <row r="5311" spans="25:26">
      <c r="Y5311" s="1354"/>
      <c r="Z5311" s="1060"/>
    </row>
    <row r="5312" spans="25:26">
      <c r="Y5312" s="1354"/>
      <c r="Z5312" s="1060"/>
    </row>
    <row r="5313" spans="25:26">
      <c r="Y5313" s="1354"/>
      <c r="Z5313" s="1060"/>
    </row>
    <row r="5314" spans="25:26">
      <c r="Y5314" s="1354"/>
      <c r="Z5314" s="1060"/>
    </row>
    <row r="5315" spans="25:26">
      <c r="Y5315" s="1354"/>
      <c r="Z5315" s="1060"/>
    </row>
    <row r="5316" spans="25:26">
      <c r="Y5316" s="1354"/>
      <c r="Z5316" s="1060"/>
    </row>
    <row r="5317" spans="25:26">
      <c r="Y5317" s="1354"/>
      <c r="Z5317" s="1060"/>
    </row>
    <row r="5318" spans="25:26">
      <c r="Y5318" s="1354"/>
      <c r="Z5318" s="1060"/>
    </row>
    <row r="5319" spans="25:26">
      <c r="Y5319" s="1354"/>
      <c r="Z5319" s="1060"/>
    </row>
    <row r="5320" spans="25:26">
      <c r="Y5320" s="1354"/>
      <c r="Z5320" s="1060"/>
    </row>
    <row r="5321" spans="25:26">
      <c r="Y5321" s="1354"/>
      <c r="Z5321" s="1060"/>
    </row>
    <row r="5322" spans="25:26">
      <c r="Y5322" s="1354"/>
      <c r="Z5322" s="1060"/>
    </row>
    <row r="5323" spans="25:26">
      <c r="Y5323" s="1354"/>
      <c r="Z5323" s="1060"/>
    </row>
    <row r="5324" spans="25:26">
      <c r="Y5324" s="1354"/>
      <c r="Z5324" s="1060"/>
    </row>
    <row r="5325" spans="25:26">
      <c r="Y5325" s="1354"/>
      <c r="Z5325" s="1060"/>
    </row>
    <row r="5326" spans="25:26">
      <c r="Y5326" s="1354"/>
      <c r="Z5326" s="1060"/>
    </row>
    <row r="5327" spans="25:26">
      <c r="Y5327" s="1354"/>
      <c r="Z5327" s="1060"/>
    </row>
    <row r="5328" spans="25:26">
      <c r="Y5328" s="1354"/>
      <c r="Z5328" s="1060"/>
    </row>
    <row r="5329" spans="25:26">
      <c r="Y5329" s="1354"/>
      <c r="Z5329" s="1060"/>
    </row>
    <row r="5330" spans="25:26">
      <c r="Y5330" s="1354"/>
      <c r="Z5330" s="1060"/>
    </row>
    <row r="5331" spans="25:26">
      <c r="Y5331" s="1354"/>
      <c r="Z5331" s="1060"/>
    </row>
    <row r="5332" spans="25:26">
      <c r="Y5332" s="1354"/>
      <c r="Z5332" s="1060"/>
    </row>
    <row r="5333" spans="25:26">
      <c r="Y5333" s="1354"/>
      <c r="Z5333" s="1060"/>
    </row>
    <row r="5334" spans="25:26">
      <c r="Y5334" s="1354"/>
      <c r="Z5334" s="1060"/>
    </row>
    <row r="5335" spans="25:26">
      <c r="Y5335" s="1354"/>
      <c r="Z5335" s="1060"/>
    </row>
    <row r="5336" spans="25:26">
      <c r="Y5336" s="1354"/>
      <c r="Z5336" s="1060"/>
    </row>
    <row r="5337" spans="25:26">
      <c r="Y5337" s="1354"/>
      <c r="Z5337" s="1060"/>
    </row>
    <row r="5338" spans="25:26">
      <c r="Y5338" s="1354"/>
      <c r="Z5338" s="1060"/>
    </row>
    <row r="5339" spans="25:26">
      <c r="Y5339" s="1354"/>
      <c r="Z5339" s="1060"/>
    </row>
    <row r="5340" spans="25:26">
      <c r="Y5340" s="1354"/>
      <c r="Z5340" s="1060"/>
    </row>
    <row r="5341" spans="25:26">
      <c r="Y5341" s="1354"/>
      <c r="Z5341" s="1060"/>
    </row>
    <row r="5342" spans="25:26">
      <c r="Y5342" s="1354"/>
      <c r="Z5342" s="1060"/>
    </row>
    <row r="5343" spans="25:26">
      <c r="Y5343" s="1354"/>
      <c r="Z5343" s="1060"/>
    </row>
    <row r="5344" spans="25:26">
      <c r="Y5344" s="1354"/>
      <c r="Z5344" s="1060"/>
    </row>
    <row r="5345" spans="25:26">
      <c r="Y5345" s="1354"/>
      <c r="Z5345" s="1060"/>
    </row>
    <row r="5346" spans="25:26">
      <c r="Y5346" s="1354"/>
      <c r="Z5346" s="1060"/>
    </row>
    <row r="5347" spans="25:26">
      <c r="Y5347" s="1354"/>
      <c r="Z5347" s="1060"/>
    </row>
    <row r="5348" spans="25:26">
      <c r="Y5348" s="1354"/>
      <c r="Z5348" s="1060"/>
    </row>
    <row r="5349" spans="25:26">
      <c r="Y5349" s="1354"/>
      <c r="Z5349" s="1060"/>
    </row>
    <row r="5350" spans="25:26">
      <c r="Y5350" s="1354"/>
      <c r="Z5350" s="1060"/>
    </row>
    <row r="5351" spans="25:26">
      <c r="Y5351" s="1354"/>
      <c r="Z5351" s="1060"/>
    </row>
    <row r="5352" spans="25:26">
      <c r="Y5352" s="1354"/>
      <c r="Z5352" s="1060"/>
    </row>
    <row r="5353" spans="25:26">
      <c r="Y5353" s="1354"/>
      <c r="Z5353" s="1060"/>
    </row>
    <row r="5354" spans="25:26">
      <c r="Y5354" s="1354"/>
      <c r="Z5354" s="1060"/>
    </row>
    <row r="5355" spans="25:26">
      <c r="Y5355" s="1354"/>
      <c r="Z5355" s="1060"/>
    </row>
    <row r="5356" spans="25:26">
      <c r="Y5356" s="1354"/>
      <c r="Z5356" s="1060"/>
    </row>
    <row r="5357" spans="25:26">
      <c r="Y5357" s="1354"/>
      <c r="Z5357" s="1060"/>
    </row>
    <row r="5358" spans="25:26">
      <c r="Y5358" s="1354"/>
      <c r="Z5358" s="1060"/>
    </row>
    <row r="5359" spans="25:26">
      <c r="Y5359" s="1354"/>
      <c r="Z5359" s="1060"/>
    </row>
    <row r="5360" spans="25:26">
      <c r="Y5360" s="1354"/>
      <c r="Z5360" s="1060"/>
    </row>
    <row r="5361" spans="25:26">
      <c r="Y5361" s="1354"/>
      <c r="Z5361" s="1060"/>
    </row>
    <row r="5362" spans="25:26">
      <c r="Y5362" s="1354"/>
      <c r="Z5362" s="1060"/>
    </row>
    <row r="5363" spans="25:26">
      <c r="Y5363" s="1354"/>
      <c r="Z5363" s="1060"/>
    </row>
    <row r="5364" spans="25:26">
      <c r="Y5364" s="1354"/>
      <c r="Z5364" s="1060"/>
    </row>
    <row r="5365" spans="25:26">
      <c r="Y5365" s="1354"/>
      <c r="Z5365" s="1060"/>
    </row>
    <row r="5366" spans="25:26">
      <c r="Y5366" s="1354"/>
      <c r="Z5366" s="1060"/>
    </row>
    <row r="5367" spans="25:26">
      <c r="Y5367" s="1354"/>
      <c r="Z5367" s="1060"/>
    </row>
    <row r="5368" spans="25:26">
      <c r="Y5368" s="1354"/>
      <c r="Z5368" s="1060"/>
    </row>
    <row r="5369" spans="25:26">
      <c r="Y5369" s="1354"/>
      <c r="Z5369" s="1060"/>
    </row>
    <row r="5370" spans="25:26">
      <c r="Y5370" s="1354"/>
      <c r="Z5370" s="1060"/>
    </row>
    <row r="5371" spans="25:26">
      <c r="Y5371" s="1354"/>
      <c r="Z5371" s="1060"/>
    </row>
    <row r="5372" spans="25:26">
      <c r="Y5372" s="1354"/>
      <c r="Z5372" s="1060"/>
    </row>
    <row r="5373" spans="25:26">
      <c r="Y5373" s="1354"/>
      <c r="Z5373" s="1060"/>
    </row>
    <row r="5374" spans="25:26">
      <c r="Y5374" s="1354"/>
      <c r="Z5374" s="1060"/>
    </row>
    <row r="5375" spans="25:26">
      <c r="Y5375" s="1354"/>
      <c r="Z5375" s="1060"/>
    </row>
    <row r="5376" spans="25:26">
      <c r="Y5376" s="1354"/>
      <c r="Z5376" s="1060"/>
    </row>
    <row r="5377" spans="25:26">
      <c r="Y5377" s="1354"/>
      <c r="Z5377" s="1060"/>
    </row>
    <row r="5378" spans="25:26">
      <c r="Y5378" s="1354"/>
      <c r="Z5378" s="1060"/>
    </row>
    <row r="5379" spans="25:26">
      <c r="Y5379" s="1354"/>
      <c r="Z5379" s="1060"/>
    </row>
    <row r="5380" spans="25:26">
      <c r="Y5380" s="1354"/>
      <c r="Z5380" s="1060"/>
    </row>
    <row r="5381" spans="25:26">
      <c r="Y5381" s="1354"/>
      <c r="Z5381" s="1060"/>
    </row>
    <row r="5382" spans="25:26">
      <c r="Y5382" s="1354"/>
      <c r="Z5382" s="1060"/>
    </row>
    <row r="5383" spans="25:26">
      <c r="Y5383" s="1354"/>
      <c r="Z5383" s="1060"/>
    </row>
    <row r="5384" spans="25:26">
      <c r="Y5384" s="1354"/>
      <c r="Z5384" s="1060"/>
    </row>
    <row r="5385" spans="25:26">
      <c r="Y5385" s="1354"/>
      <c r="Z5385" s="1060"/>
    </row>
    <row r="5386" spans="25:26">
      <c r="Y5386" s="1354"/>
      <c r="Z5386" s="1060"/>
    </row>
    <row r="5387" spans="25:26">
      <c r="Y5387" s="1354"/>
      <c r="Z5387" s="1060"/>
    </row>
    <row r="5388" spans="25:26">
      <c r="Y5388" s="1354"/>
      <c r="Z5388" s="1060"/>
    </row>
    <row r="5389" spans="25:26">
      <c r="Y5389" s="1354"/>
      <c r="Z5389" s="1060"/>
    </row>
    <row r="5390" spans="25:26">
      <c r="Y5390" s="1354"/>
      <c r="Z5390" s="1060"/>
    </row>
    <row r="5391" spans="25:26">
      <c r="Y5391" s="1354"/>
      <c r="Z5391" s="1060"/>
    </row>
    <row r="5392" spans="25:26">
      <c r="Y5392" s="1354"/>
      <c r="Z5392" s="1060"/>
    </row>
    <row r="5393" spans="25:26">
      <c r="Y5393" s="1354"/>
      <c r="Z5393" s="1060"/>
    </row>
    <row r="5394" spans="25:26">
      <c r="Y5394" s="1354"/>
      <c r="Z5394" s="1060"/>
    </row>
    <row r="5395" spans="25:26">
      <c r="Y5395" s="1354"/>
      <c r="Z5395" s="1060"/>
    </row>
    <row r="5396" spans="25:26">
      <c r="Y5396" s="1354"/>
      <c r="Z5396" s="1060"/>
    </row>
    <row r="5397" spans="25:26">
      <c r="Y5397" s="1354"/>
      <c r="Z5397" s="1060"/>
    </row>
    <row r="5398" spans="25:26">
      <c r="Y5398" s="1354"/>
      <c r="Z5398" s="1060"/>
    </row>
    <row r="5399" spans="25:26">
      <c r="Y5399" s="1354"/>
      <c r="Z5399" s="1060"/>
    </row>
    <row r="5400" spans="25:26">
      <c r="Y5400" s="1354"/>
      <c r="Z5400" s="1060"/>
    </row>
    <row r="5401" spans="25:26">
      <c r="Y5401" s="1354"/>
      <c r="Z5401" s="1060"/>
    </row>
    <row r="5402" spans="25:26">
      <c r="Y5402" s="1354"/>
      <c r="Z5402" s="1060"/>
    </row>
    <row r="5403" spans="25:26">
      <c r="Y5403" s="1354"/>
      <c r="Z5403" s="1060"/>
    </row>
    <row r="5404" spans="25:26">
      <c r="Y5404" s="1354"/>
      <c r="Z5404" s="1060"/>
    </row>
    <row r="5405" spans="25:26">
      <c r="Y5405" s="1354"/>
      <c r="Z5405" s="1060"/>
    </row>
    <row r="5406" spans="25:26">
      <c r="Y5406" s="1354"/>
      <c r="Z5406" s="1060"/>
    </row>
    <row r="5407" spans="25:26">
      <c r="Y5407" s="1354"/>
      <c r="Z5407" s="1060"/>
    </row>
    <row r="5408" spans="25:26">
      <c r="Y5408" s="1354"/>
      <c r="Z5408" s="1060"/>
    </row>
    <row r="5409" spans="25:26">
      <c r="Y5409" s="1354"/>
      <c r="Z5409" s="1060"/>
    </row>
    <row r="5410" spans="25:26">
      <c r="Y5410" s="1354"/>
      <c r="Z5410" s="1060"/>
    </row>
    <row r="5411" spans="25:26">
      <c r="Y5411" s="1354"/>
      <c r="Z5411" s="1060"/>
    </row>
    <row r="5412" spans="25:26">
      <c r="Y5412" s="1354"/>
      <c r="Z5412" s="1060"/>
    </row>
    <row r="5413" spans="25:26">
      <c r="Y5413" s="1354"/>
      <c r="Z5413" s="1060"/>
    </row>
    <row r="5414" spans="25:26">
      <c r="Y5414" s="1354"/>
      <c r="Z5414" s="1060"/>
    </row>
    <row r="5415" spans="25:26">
      <c r="Y5415" s="1354"/>
      <c r="Z5415" s="1060"/>
    </row>
    <row r="5416" spans="25:26">
      <c r="Y5416" s="1354"/>
      <c r="Z5416" s="1060"/>
    </row>
    <row r="5417" spans="25:26">
      <c r="Y5417" s="1354"/>
      <c r="Z5417" s="1060"/>
    </row>
    <row r="5418" spans="25:26">
      <c r="Y5418" s="1354"/>
      <c r="Z5418" s="1060"/>
    </row>
    <row r="5419" spans="25:26">
      <c r="Y5419" s="1354"/>
      <c r="Z5419" s="1060"/>
    </row>
    <row r="5420" spans="25:26">
      <c r="Y5420" s="1354"/>
      <c r="Z5420" s="1060"/>
    </row>
    <row r="5421" spans="25:26">
      <c r="Y5421" s="1354"/>
      <c r="Z5421" s="1060"/>
    </row>
    <row r="5422" spans="25:26">
      <c r="Y5422" s="1354"/>
      <c r="Z5422" s="1060"/>
    </row>
    <row r="5423" spans="25:26">
      <c r="Y5423" s="1354"/>
      <c r="Z5423" s="1060"/>
    </row>
    <row r="5424" spans="25:26">
      <c r="Y5424" s="1354"/>
      <c r="Z5424" s="1060"/>
    </row>
    <row r="5425" spans="25:26">
      <c r="Y5425" s="1354"/>
      <c r="Z5425" s="1060"/>
    </row>
    <row r="5426" spans="25:26">
      <c r="Y5426" s="1354"/>
      <c r="Z5426" s="1060"/>
    </row>
    <row r="5427" spans="25:26">
      <c r="Y5427" s="1354"/>
      <c r="Z5427" s="1060"/>
    </row>
    <row r="5428" spans="25:26">
      <c r="Y5428" s="1354"/>
      <c r="Z5428" s="1060"/>
    </row>
    <row r="5429" spans="25:26">
      <c r="Y5429" s="1354"/>
      <c r="Z5429" s="1060"/>
    </row>
    <row r="5430" spans="25:26">
      <c r="Y5430" s="1354"/>
      <c r="Z5430" s="1060"/>
    </row>
    <row r="5431" spans="25:26">
      <c r="Y5431" s="1354"/>
      <c r="Z5431" s="1060"/>
    </row>
    <row r="5432" spans="25:26">
      <c r="Y5432" s="1354"/>
      <c r="Z5432" s="1060"/>
    </row>
    <row r="5433" spans="25:26">
      <c r="Y5433" s="1354"/>
      <c r="Z5433" s="1060"/>
    </row>
    <row r="5434" spans="25:26">
      <c r="Y5434" s="1354"/>
      <c r="Z5434" s="1060"/>
    </row>
    <row r="5435" spans="25:26">
      <c r="Y5435" s="1354"/>
      <c r="Z5435" s="1060"/>
    </row>
    <row r="5436" spans="25:26">
      <c r="Y5436" s="1354"/>
      <c r="Z5436" s="1060"/>
    </row>
    <row r="5437" spans="25:26">
      <c r="Y5437" s="1354"/>
      <c r="Z5437" s="1060"/>
    </row>
    <row r="5438" spans="25:26">
      <c r="Y5438" s="1354"/>
      <c r="Z5438" s="1060"/>
    </row>
    <row r="5439" spans="25:26">
      <c r="Y5439" s="1354"/>
      <c r="Z5439" s="1060"/>
    </row>
    <row r="5440" spans="25:26">
      <c r="Y5440" s="1354"/>
      <c r="Z5440" s="1060"/>
    </row>
    <row r="5441" spans="25:26">
      <c r="Y5441" s="1354"/>
      <c r="Z5441" s="1060"/>
    </row>
    <row r="5442" spans="25:26">
      <c r="Y5442" s="1354"/>
      <c r="Z5442" s="1060"/>
    </row>
    <row r="5443" spans="25:26">
      <c r="Y5443" s="1354"/>
      <c r="Z5443" s="1060"/>
    </row>
    <row r="5444" spans="25:26">
      <c r="Y5444" s="1354"/>
      <c r="Z5444" s="1060"/>
    </row>
    <row r="5445" spans="25:26">
      <c r="Y5445" s="1354"/>
      <c r="Z5445" s="1060"/>
    </row>
    <row r="5446" spans="25:26">
      <c r="Y5446" s="1354"/>
      <c r="Z5446" s="1060"/>
    </row>
    <row r="5447" spans="25:26">
      <c r="Y5447" s="1354"/>
      <c r="Z5447" s="1060"/>
    </row>
    <row r="5448" spans="25:26">
      <c r="Y5448" s="1354"/>
      <c r="Z5448" s="1060"/>
    </row>
    <row r="5449" spans="25:26">
      <c r="Y5449" s="1354"/>
      <c r="Z5449" s="1060"/>
    </row>
    <row r="5450" spans="25:26">
      <c r="Y5450" s="1354"/>
      <c r="Z5450" s="1060"/>
    </row>
    <row r="5451" spans="25:26">
      <c r="Y5451" s="1354"/>
      <c r="Z5451" s="1060"/>
    </row>
    <row r="5452" spans="25:26">
      <c r="Y5452" s="1354"/>
      <c r="Z5452" s="1060"/>
    </row>
    <row r="5453" spans="25:26">
      <c r="Y5453" s="1354"/>
      <c r="Z5453" s="1060"/>
    </row>
    <row r="5454" spans="25:26">
      <c r="Y5454" s="1354"/>
      <c r="Z5454" s="1060"/>
    </row>
    <row r="5455" spans="25:26">
      <c r="Y5455" s="1354"/>
      <c r="Z5455" s="1060"/>
    </row>
    <row r="5456" spans="25:26">
      <c r="Y5456" s="1354"/>
      <c r="Z5456" s="1060"/>
    </row>
    <row r="5457" spans="25:26">
      <c r="Y5457" s="1354"/>
      <c r="Z5457" s="1060"/>
    </row>
    <row r="5458" spans="25:26">
      <c r="Y5458" s="1354"/>
      <c r="Z5458" s="1060"/>
    </row>
    <row r="5459" spans="25:26">
      <c r="Y5459" s="1354"/>
      <c r="Z5459" s="1060"/>
    </row>
    <row r="5460" spans="25:26">
      <c r="Y5460" s="1354"/>
      <c r="Z5460" s="1060"/>
    </row>
    <row r="5461" spans="25:26">
      <c r="Y5461" s="1354"/>
      <c r="Z5461" s="1060"/>
    </row>
    <row r="5462" spans="25:26">
      <c r="Y5462" s="1354"/>
      <c r="Z5462" s="1060"/>
    </row>
    <row r="5463" spans="25:26">
      <c r="Y5463" s="1354"/>
      <c r="Z5463" s="1060"/>
    </row>
    <row r="5464" spans="25:26">
      <c r="Y5464" s="1354"/>
      <c r="Z5464" s="1060"/>
    </row>
    <row r="5465" spans="25:26">
      <c r="Y5465" s="1354"/>
      <c r="Z5465" s="1060"/>
    </row>
    <row r="5466" spans="25:26">
      <c r="Y5466" s="1354"/>
      <c r="Z5466" s="1060"/>
    </row>
    <row r="5467" spans="25:26">
      <c r="Y5467" s="1354"/>
      <c r="Z5467" s="1060"/>
    </row>
    <row r="5468" spans="25:26">
      <c r="Y5468" s="1354"/>
      <c r="Z5468" s="1060"/>
    </row>
    <row r="5469" spans="25:26">
      <c r="Y5469" s="1354"/>
      <c r="Z5469" s="1060"/>
    </row>
    <row r="5470" spans="25:26">
      <c r="Y5470" s="1354"/>
      <c r="Z5470" s="1060"/>
    </row>
    <row r="5471" spans="25:26">
      <c r="Y5471" s="1354"/>
      <c r="Z5471" s="1060"/>
    </row>
    <row r="5472" spans="25:26">
      <c r="Y5472" s="1354"/>
      <c r="Z5472" s="1060"/>
    </row>
    <row r="5473" spans="25:26">
      <c r="Y5473" s="1354"/>
      <c r="Z5473" s="1060"/>
    </row>
    <row r="5474" spans="25:26">
      <c r="Y5474" s="1354"/>
      <c r="Z5474" s="1060"/>
    </row>
    <row r="5475" spans="25:26">
      <c r="Y5475" s="1354"/>
      <c r="Z5475" s="1060"/>
    </row>
    <row r="5476" spans="25:26">
      <c r="Y5476" s="1354"/>
      <c r="Z5476" s="1060"/>
    </row>
    <row r="5477" spans="25:26">
      <c r="Y5477" s="1354"/>
      <c r="Z5477" s="1060"/>
    </row>
    <row r="5478" spans="25:26">
      <c r="Y5478" s="1354"/>
      <c r="Z5478" s="1060"/>
    </row>
    <row r="5479" spans="25:26">
      <c r="Y5479" s="1354"/>
      <c r="Z5479" s="1060"/>
    </row>
    <row r="5480" spans="25:26">
      <c r="Y5480" s="1354"/>
      <c r="Z5480" s="1060"/>
    </row>
    <row r="5481" spans="25:26">
      <c r="Y5481" s="1354"/>
      <c r="Z5481" s="1060"/>
    </row>
    <row r="5482" spans="25:26">
      <c r="Y5482" s="1354"/>
      <c r="Z5482" s="1060"/>
    </row>
    <row r="5483" spans="25:26">
      <c r="Y5483" s="1354"/>
      <c r="Z5483" s="1060"/>
    </row>
    <row r="5484" spans="25:26">
      <c r="Y5484" s="1354"/>
      <c r="Z5484" s="1060"/>
    </row>
    <row r="5485" spans="25:26">
      <c r="Y5485" s="1354"/>
      <c r="Z5485" s="1060"/>
    </row>
    <row r="5486" spans="25:26">
      <c r="Y5486" s="1354"/>
      <c r="Z5486" s="1060"/>
    </row>
    <row r="5487" spans="25:26">
      <c r="Y5487" s="1354"/>
      <c r="Z5487" s="1060"/>
    </row>
    <row r="5488" spans="25:26">
      <c r="Y5488" s="1354"/>
      <c r="Z5488" s="1060"/>
    </row>
    <row r="5489" spans="25:26">
      <c r="Y5489" s="1354"/>
      <c r="Z5489" s="1060"/>
    </row>
    <row r="5490" spans="25:26">
      <c r="Y5490" s="1354"/>
      <c r="Z5490" s="1060"/>
    </row>
    <row r="5491" spans="25:26">
      <c r="Y5491" s="1354"/>
      <c r="Z5491" s="1060"/>
    </row>
    <row r="5492" spans="25:26">
      <c r="Y5492" s="1354"/>
      <c r="Z5492" s="1060"/>
    </row>
    <row r="5493" spans="25:26">
      <c r="Y5493" s="1354"/>
      <c r="Z5493" s="1060"/>
    </row>
    <row r="5494" spans="25:26">
      <c r="Y5494" s="1354"/>
      <c r="Z5494" s="1060"/>
    </row>
    <row r="5495" spans="25:26">
      <c r="Y5495" s="1354"/>
      <c r="Z5495" s="1060"/>
    </row>
    <row r="5496" spans="25:26">
      <c r="Y5496" s="1354"/>
      <c r="Z5496" s="1060"/>
    </row>
    <row r="5497" spans="25:26">
      <c r="Y5497" s="1354"/>
      <c r="Z5497" s="1060"/>
    </row>
    <row r="5498" spans="25:26">
      <c r="Y5498" s="1354"/>
      <c r="Z5498" s="1060"/>
    </row>
    <row r="5499" spans="25:26">
      <c r="Y5499" s="1354"/>
      <c r="Z5499" s="1060"/>
    </row>
    <row r="5500" spans="25:26">
      <c r="Y5500" s="1354"/>
      <c r="Z5500" s="1060"/>
    </row>
    <row r="5501" spans="25:26">
      <c r="Y5501" s="1354"/>
      <c r="Z5501" s="1060"/>
    </row>
    <row r="5502" spans="25:26">
      <c r="Y5502" s="1354"/>
      <c r="Z5502" s="1060"/>
    </row>
    <row r="5503" spans="25:26">
      <c r="Y5503" s="1354"/>
      <c r="Z5503" s="1060"/>
    </row>
    <row r="5504" spans="25:26">
      <c r="Y5504" s="1354"/>
      <c r="Z5504" s="1060"/>
    </row>
    <row r="5505" spans="25:26">
      <c r="Y5505" s="1354"/>
      <c r="Z5505" s="1060"/>
    </row>
    <row r="5506" spans="25:26">
      <c r="Y5506" s="1354"/>
      <c r="Z5506" s="1060"/>
    </row>
    <row r="5507" spans="25:26">
      <c r="Y5507" s="1354"/>
      <c r="Z5507" s="1060"/>
    </row>
    <row r="5508" spans="25:26">
      <c r="Y5508" s="1354"/>
      <c r="Z5508" s="1060"/>
    </row>
    <row r="5509" spans="25:26">
      <c r="Y5509" s="1354"/>
      <c r="Z5509" s="1060"/>
    </row>
    <row r="5510" spans="25:26">
      <c r="Y5510" s="1354"/>
      <c r="Z5510" s="1060"/>
    </row>
    <row r="5511" spans="25:26">
      <c r="Y5511" s="1354"/>
      <c r="Z5511" s="1060"/>
    </row>
    <row r="5512" spans="25:26">
      <c r="Y5512" s="1354"/>
      <c r="Z5512" s="1060"/>
    </row>
    <row r="5513" spans="25:26">
      <c r="Y5513" s="1354"/>
      <c r="Z5513" s="1060"/>
    </row>
    <row r="5514" spans="25:26">
      <c r="Y5514" s="1354"/>
      <c r="Z5514" s="1060"/>
    </row>
    <row r="5515" spans="25:26">
      <c r="Y5515" s="1354"/>
      <c r="Z5515" s="1060"/>
    </row>
    <row r="5516" spans="25:26">
      <c r="Y5516" s="1354"/>
      <c r="Z5516" s="1060"/>
    </row>
    <row r="5517" spans="25:26">
      <c r="Y5517" s="1354"/>
      <c r="Z5517" s="1060"/>
    </row>
    <row r="5518" spans="25:26">
      <c r="Y5518" s="1354"/>
      <c r="Z5518" s="1060"/>
    </row>
    <row r="5519" spans="25:26">
      <c r="Y5519" s="1354"/>
      <c r="Z5519" s="1060"/>
    </row>
    <row r="5520" spans="25:26">
      <c r="Y5520" s="1354"/>
      <c r="Z5520" s="1060"/>
    </row>
    <row r="5521" spans="25:26">
      <c r="Y5521" s="1354"/>
      <c r="Z5521" s="1060"/>
    </row>
    <row r="5522" spans="25:26">
      <c r="Y5522" s="1354"/>
      <c r="Z5522" s="1060"/>
    </row>
    <row r="5523" spans="25:26">
      <c r="Y5523" s="1354"/>
      <c r="Z5523" s="1060"/>
    </row>
    <row r="5524" spans="25:26">
      <c r="Y5524" s="1354"/>
      <c r="Z5524" s="1060"/>
    </row>
    <row r="5525" spans="25:26">
      <c r="Y5525" s="1354"/>
      <c r="Z5525" s="1060"/>
    </row>
    <row r="5526" spans="25:26">
      <c r="Y5526" s="1354"/>
      <c r="Z5526" s="1060"/>
    </row>
    <row r="5527" spans="25:26">
      <c r="Y5527" s="1354"/>
      <c r="Z5527" s="1060"/>
    </row>
    <row r="5528" spans="25:26">
      <c r="Y5528" s="1354"/>
      <c r="Z5528" s="1060"/>
    </row>
    <row r="5529" spans="25:26">
      <c r="Y5529" s="1354"/>
      <c r="Z5529" s="1060"/>
    </row>
    <row r="5530" spans="25:26">
      <c r="Y5530" s="1354"/>
      <c r="Z5530" s="1060"/>
    </row>
    <row r="5531" spans="25:26">
      <c r="Y5531" s="1354"/>
      <c r="Z5531" s="1060"/>
    </row>
    <row r="5532" spans="25:26">
      <c r="Y5532" s="1354"/>
      <c r="Z5532" s="1060"/>
    </row>
    <row r="5533" spans="25:26">
      <c r="Y5533" s="1354"/>
      <c r="Z5533" s="1060"/>
    </row>
    <row r="5534" spans="25:26">
      <c r="Y5534" s="1354"/>
      <c r="Z5534" s="1060"/>
    </row>
    <row r="5535" spans="25:26">
      <c r="Y5535" s="1354"/>
      <c r="Z5535" s="1060"/>
    </row>
    <row r="5536" spans="25:26">
      <c r="Y5536" s="1354"/>
      <c r="Z5536" s="1060"/>
    </row>
    <row r="5537" spans="25:26">
      <c r="Y5537" s="1354"/>
      <c r="Z5537" s="1060"/>
    </row>
    <row r="5538" spans="25:26">
      <c r="Y5538" s="1354"/>
      <c r="Z5538" s="1060"/>
    </row>
    <row r="5539" spans="25:26">
      <c r="Y5539" s="1354"/>
      <c r="Z5539" s="1060"/>
    </row>
    <row r="5540" spans="25:26">
      <c r="Y5540" s="1354"/>
      <c r="Z5540" s="1060"/>
    </row>
    <row r="5541" spans="25:26">
      <c r="Y5541" s="1354"/>
      <c r="Z5541" s="1060"/>
    </row>
    <row r="5542" spans="25:26">
      <c r="Y5542" s="1354"/>
      <c r="Z5542" s="1060"/>
    </row>
    <row r="5543" spans="25:26">
      <c r="Y5543" s="1354"/>
      <c r="Z5543" s="1060"/>
    </row>
    <row r="5544" spans="25:26">
      <c r="Y5544" s="1354"/>
      <c r="Z5544" s="1060"/>
    </row>
    <row r="5545" spans="25:26">
      <c r="Y5545" s="1354"/>
      <c r="Z5545" s="1060"/>
    </row>
    <row r="5546" spans="25:26">
      <c r="Y5546" s="1354"/>
      <c r="Z5546" s="1060"/>
    </row>
    <row r="5547" spans="25:26">
      <c r="Y5547" s="1354"/>
      <c r="Z5547" s="1060"/>
    </row>
    <row r="5548" spans="25:26">
      <c r="Y5548" s="1354"/>
      <c r="Z5548" s="1060"/>
    </row>
    <row r="5549" spans="25:26">
      <c r="Y5549" s="1354"/>
      <c r="Z5549" s="1060"/>
    </row>
    <row r="5550" spans="25:26">
      <c r="Y5550" s="1354"/>
      <c r="Z5550" s="1060"/>
    </row>
    <row r="5551" spans="25:26">
      <c r="Y5551" s="1354"/>
      <c r="Z5551" s="1060"/>
    </row>
    <row r="5552" spans="25:26">
      <c r="Y5552" s="1354"/>
      <c r="Z5552" s="1060"/>
    </row>
    <row r="5553" spans="25:26">
      <c r="Y5553" s="1354"/>
      <c r="Z5553" s="1060"/>
    </row>
    <row r="5554" spans="25:26">
      <c r="Y5554" s="1354"/>
      <c r="Z5554" s="1060"/>
    </row>
    <row r="5555" spans="25:26">
      <c r="Y5555" s="1354"/>
      <c r="Z5555" s="1060"/>
    </row>
    <row r="5556" spans="25:26">
      <c r="Y5556" s="1354"/>
      <c r="Z5556" s="1060"/>
    </row>
    <row r="5557" spans="25:26">
      <c r="Y5557" s="1354"/>
      <c r="Z5557" s="1060"/>
    </row>
    <row r="5558" spans="25:26">
      <c r="Y5558" s="1354"/>
      <c r="Z5558" s="1060"/>
    </row>
    <row r="5559" spans="25:26">
      <c r="Y5559" s="1354"/>
      <c r="Z5559" s="1060"/>
    </row>
    <row r="5560" spans="25:26">
      <c r="Y5560" s="1354"/>
      <c r="Z5560" s="1060"/>
    </row>
    <row r="5561" spans="25:26">
      <c r="Y5561" s="1354"/>
      <c r="Z5561" s="1060"/>
    </row>
    <row r="5562" spans="25:26">
      <c r="Y5562" s="1354"/>
      <c r="Z5562" s="1060"/>
    </row>
    <row r="5563" spans="25:26">
      <c r="Y5563" s="1354"/>
      <c r="Z5563" s="1060"/>
    </row>
    <row r="5564" spans="25:26">
      <c r="Y5564" s="1354"/>
      <c r="Z5564" s="1060"/>
    </row>
    <row r="5565" spans="25:26">
      <c r="Y5565" s="1354"/>
      <c r="Z5565" s="1060"/>
    </row>
    <row r="5566" spans="25:26">
      <c r="Y5566" s="1354"/>
      <c r="Z5566" s="1060"/>
    </row>
    <row r="5567" spans="25:26">
      <c r="Y5567" s="1354"/>
      <c r="Z5567" s="1060"/>
    </row>
    <row r="5568" spans="25:26">
      <c r="Y5568" s="1354"/>
      <c r="Z5568" s="1060"/>
    </row>
    <row r="5569" spans="25:26">
      <c r="Y5569" s="1354"/>
      <c r="Z5569" s="1060"/>
    </row>
    <row r="5570" spans="25:26">
      <c r="Y5570" s="1354"/>
      <c r="Z5570" s="1060"/>
    </row>
    <row r="5571" spans="25:26">
      <c r="Y5571" s="1354"/>
      <c r="Z5571" s="1060"/>
    </row>
    <row r="5572" spans="25:26">
      <c r="Y5572" s="1354"/>
      <c r="Z5572" s="1060"/>
    </row>
    <row r="5573" spans="25:26">
      <c r="Y5573" s="1354"/>
      <c r="Z5573" s="1060"/>
    </row>
    <row r="5574" spans="25:26">
      <c r="Y5574" s="1354"/>
      <c r="Z5574" s="1060"/>
    </row>
    <row r="5575" spans="25:26">
      <c r="Y5575" s="1354"/>
      <c r="Z5575" s="1060"/>
    </row>
    <row r="5576" spans="25:26">
      <c r="Y5576" s="1354"/>
      <c r="Z5576" s="1060"/>
    </row>
    <row r="5577" spans="25:26">
      <c r="Y5577" s="1354"/>
      <c r="Z5577" s="1060"/>
    </row>
    <row r="5578" spans="25:26">
      <c r="Y5578" s="1354"/>
      <c r="Z5578" s="1060"/>
    </row>
    <row r="5579" spans="25:26">
      <c r="Y5579" s="1354"/>
      <c r="Z5579" s="1060"/>
    </row>
    <row r="5580" spans="25:26">
      <c r="Y5580" s="1354"/>
      <c r="Z5580" s="1060"/>
    </row>
    <row r="5581" spans="25:26">
      <c r="Y5581" s="1354"/>
      <c r="Z5581" s="1060"/>
    </row>
    <row r="5582" spans="25:26">
      <c r="Y5582" s="1354"/>
      <c r="Z5582" s="1060"/>
    </row>
    <row r="5583" spans="25:26">
      <c r="Y5583" s="1354"/>
      <c r="Z5583" s="1060"/>
    </row>
    <row r="5584" spans="25:26">
      <c r="Y5584" s="1354"/>
      <c r="Z5584" s="1060"/>
    </row>
    <row r="5585" spans="25:26">
      <c r="Y5585" s="1354"/>
      <c r="Z5585" s="1060"/>
    </row>
    <row r="5586" spans="25:26">
      <c r="Y5586" s="1354"/>
      <c r="Z5586" s="1060"/>
    </row>
    <row r="5587" spans="25:26">
      <c r="Y5587" s="1354"/>
      <c r="Z5587" s="1060"/>
    </row>
    <row r="5588" spans="25:26">
      <c r="Y5588" s="1354"/>
      <c r="Z5588" s="1060"/>
    </row>
    <row r="5589" spans="25:26">
      <c r="Y5589" s="1354"/>
      <c r="Z5589" s="1060"/>
    </row>
    <row r="5590" spans="25:26">
      <c r="Y5590" s="1354"/>
      <c r="Z5590" s="1060"/>
    </row>
    <row r="5591" spans="25:26">
      <c r="Y5591" s="1354"/>
      <c r="Z5591" s="1060"/>
    </row>
    <row r="5592" spans="25:26">
      <c r="Y5592" s="1354"/>
      <c r="Z5592" s="1060"/>
    </row>
    <row r="5593" spans="25:26">
      <c r="Y5593" s="1354"/>
      <c r="Z5593" s="1060"/>
    </row>
    <row r="5594" spans="25:26">
      <c r="Y5594" s="1354"/>
      <c r="Z5594" s="1060"/>
    </row>
    <row r="5595" spans="25:26">
      <c r="Y5595" s="1354"/>
      <c r="Z5595" s="1060"/>
    </row>
    <row r="5596" spans="25:26">
      <c r="Y5596" s="1354"/>
      <c r="Z5596" s="1060"/>
    </row>
    <row r="5597" spans="25:26">
      <c r="Y5597" s="1354"/>
      <c r="Z5597" s="1060"/>
    </row>
    <row r="5598" spans="25:26">
      <c r="Y5598" s="1354"/>
      <c r="Z5598" s="1060"/>
    </row>
    <row r="5599" spans="25:26">
      <c r="Y5599" s="1354"/>
      <c r="Z5599" s="1060"/>
    </row>
    <row r="5600" spans="25:26">
      <c r="Y5600" s="1354"/>
      <c r="Z5600" s="1060"/>
    </row>
    <row r="5601" spans="25:26">
      <c r="Y5601" s="1354"/>
      <c r="Z5601" s="1060"/>
    </row>
    <row r="5602" spans="25:26">
      <c r="Y5602" s="1354"/>
      <c r="Z5602" s="1060"/>
    </row>
    <row r="5603" spans="25:26">
      <c r="Y5603" s="1354"/>
      <c r="Z5603" s="1060"/>
    </row>
    <row r="5604" spans="25:26">
      <c r="Y5604" s="1354"/>
      <c r="Z5604" s="1060"/>
    </row>
    <row r="5605" spans="25:26">
      <c r="Y5605" s="1354"/>
      <c r="Z5605" s="1060"/>
    </row>
    <row r="5606" spans="25:26">
      <c r="Y5606" s="1354"/>
      <c r="Z5606" s="1060"/>
    </row>
    <row r="5607" spans="25:26">
      <c r="Y5607" s="1354"/>
      <c r="Z5607" s="1060"/>
    </row>
    <row r="5608" spans="25:26">
      <c r="Y5608" s="1354"/>
      <c r="Z5608" s="1060"/>
    </row>
    <row r="5609" spans="25:26">
      <c r="Y5609" s="1354"/>
      <c r="Z5609" s="1060"/>
    </row>
    <row r="5610" spans="25:26">
      <c r="Y5610" s="1354"/>
      <c r="Z5610" s="1060"/>
    </row>
    <row r="5611" spans="25:26">
      <c r="Y5611" s="1354"/>
      <c r="Z5611" s="1060"/>
    </row>
    <row r="5612" spans="25:26">
      <c r="Y5612" s="1354"/>
      <c r="Z5612" s="1060"/>
    </row>
    <row r="5613" spans="25:26">
      <c r="Y5613" s="1354"/>
      <c r="Z5613" s="1060"/>
    </row>
    <row r="5614" spans="25:26">
      <c r="Y5614" s="1354"/>
      <c r="Z5614" s="1060"/>
    </row>
    <row r="5615" spans="25:26">
      <c r="Y5615" s="1354"/>
      <c r="Z5615" s="1060"/>
    </row>
    <row r="5616" spans="25:26">
      <c r="Y5616" s="1354"/>
      <c r="Z5616" s="1060"/>
    </row>
    <row r="5617" spans="25:26">
      <c r="Y5617" s="1354"/>
      <c r="Z5617" s="1060"/>
    </row>
    <row r="5618" spans="25:26">
      <c r="Y5618" s="1354"/>
      <c r="Z5618" s="1060"/>
    </row>
    <row r="5619" spans="25:26">
      <c r="Y5619" s="1354"/>
      <c r="Z5619" s="1060"/>
    </row>
    <row r="5620" spans="25:26">
      <c r="Y5620" s="1354"/>
      <c r="Z5620" s="1060"/>
    </row>
    <row r="5621" spans="25:26">
      <c r="Y5621" s="1354"/>
      <c r="Z5621" s="1060"/>
    </row>
    <row r="5622" spans="25:26">
      <c r="Y5622" s="1354"/>
      <c r="Z5622" s="1060"/>
    </row>
    <row r="5623" spans="25:26">
      <c r="Y5623" s="1354"/>
      <c r="Z5623" s="1060"/>
    </row>
    <row r="5624" spans="25:26">
      <c r="Y5624" s="1354"/>
      <c r="Z5624" s="1060"/>
    </row>
    <row r="5625" spans="25:26">
      <c r="Y5625" s="1354"/>
      <c r="Z5625" s="1060"/>
    </row>
    <row r="5626" spans="25:26">
      <c r="Y5626" s="1354"/>
      <c r="Z5626" s="1060"/>
    </row>
    <row r="5627" spans="25:26">
      <c r="Y5627" s="1354"/>
      <c r="Z5627" s="1060"/>
    </row>
    <row r="5628" spans="25:26">
      <c r="Y5628" s="1354"/>
      <c r="Z5628" s="1060"/>
    </row>
    <row r="5629" spans="25:26">
      <c r="Y5629" s="1354"/>
      <c r="Z5629" s="1060"/>
    </row>
    <row r="5630" spans="25:26">
      <c r="Y5630" s="1354"/>
      <c r="Z5630" s="1060"/>
    </row>
    <row r="5631" spans="25:26">
      <c r="Y5631" s="1354"/>
      <c r="Z5631" s="1060"/>
    </row>
    <row r="5632" spans="25:26">
      <c r="Y5632" s="1354"/>
      <c r="Z5632" s="1060"/>
    </row>
    <row r="5633" spans="25:26">
      <c r="Y5633" s="1354"/>
      <c r="Z5633" s="1060"/>
    </row>
    <row r="5634" spans="25:26">
      <c r="Y5634" s="1354"/>
      <c r="Z5634" s="1060"/>
    </row>
    <row r="5635" spans="25:26">
      <c r="Y5635" s="1354"/>
      <c r="Z5635" s="1060"/>
    </row>
    <row r="5636" spans="25:26">
      <c r="Y5636" s="1354"/>
      <c r="Z5636" s="1060"/>
    </row>
    <row r="5637" spans="25:26">
      <c r="Y5637" s="1354"/>
      <c r="Z5637" s="1060"/>
    </row>
    <row r="5638" spans="25:26">
      <c r="Y5638" s="1354"/>
      <c r="Z5638" s="1060"/>
    </row>
    <row r="5639" spans="25:26">
      <c r="Y5639" s="1354"/>
      <c r="Z5639" s="1060"/>
    </row>
    <row r="5640" spans="25:26">
      <c r="Y5640" s="1354"/>
      <c r="Z5640" s="1060"/>
    </row>
    <row r="5641" spans="25:26">
      <c r="Y5641" s="1354"/>
      <c r="Z5641" s="1060"/>
    </row>
    <row r="5642" spans="25:26">
      <c r="Y5642" s="1354"/>
      <c r="Z5642" s="1060"/>
    </row>
    <row r="5643" spans="25:26">
      <c r="Y5643" s="1354"/>
      <c r="Z5643" s="1060"/>
    </row>
    <row r="5644" spans="25:26">
      <c r="Y5644" s="1354"/>
      <c r="Z5644" s="1060"/>
    </row>
    <row r="5645" spans="25:26">
      <c r="Y5645" s="1354"/>
      <c r="Z5645" s="1060"/>
    </row>
    <row r="5646" spans="25:26">
      <c r="Y5646" s="1354"/>
      <c r="Z5646" s="1060"/>
    </row>
    <row r="5647" spans="25:26">
      <c r="Y5647" s="1354"/>
      <c r="Z5647" s="1060"/>
    </row>
    <row r="5648" spans="25:26">
      <c r="Y5648" s="1354"/>
      <c r="Z5648" s="1060"/>
    </row>
    <row r="5649" spans="25:26">
      <c r="Y5649" s="1354"/>
      <c r="Z5649" s="1060"/>
    </row>
    <row r="5650" spans="25:26">
      <c r="Y5650" s="1354"/>
      <c r="Z5650" s="1060"/>
    </row>
    <row r="5651" spans="25:26">
      <c r="Y5651" s="1354"/>
      <c r="Z5651" s="1060"/>
    </row>
    <row r="5652" spans="25:26">
      <c r="Y5652" s="1354"/>
      <c r="Z5652" s="1060"/>
    </row>
    <row r="5653" spans="25:26">
      <c r="Y5653" s="1354"/>
      <c r="Z5653" s="1060"/>
    </row>
    <row r="5654" spans="25:26">
      <c r="Y5654" s="1354"/>
      <c r="Z5654" s="1060"/>
    </row>
    <row r="5655" spans="25:26">
      <c r="Y5655" s="1354"/>
      <c r="Z5655" s="1060"/>
    </row>
    <row r="5656" spans="25:26">
      <c r="Y5656" s="1354"/>
      <c r="Z5656" s="1060"/>
    </row>
    <row r="5657" spans="25:26">
      <c r="Y5657" s="1354"/>
      <c r="Z5657" s="1060"/>
    </row>
    <row r="5658" spans="25:26">
      <c r="Y5658" s="1354"/>
      <c r="Z5658" s="1060"/>
    </row>
    <row r="5659" spans="25:26">
      <c r="Y5659" s="1354"/>
      <c r="Z5659" s="1060"/>
    </row>
    <row r="5660" spans="25:26">
      <c r="Y5660" s="1354"/>
      <c r="Z5660" s="1060"/>
    </row>
    <row r="5661" spans="25:26">
      <c r="Y5661" s="1354"/>
      <c r="Z5661" s="1060"/>
    </row>
    <row r="5662" spans="25:26">
      <c r="Y5662" s="1354"/>
      <c r="Z5662" s="1060"/>
    </row>
    <row r="5663" spans="25:26">
      <c r="Y5663" s="1354"/>
      <c r="Z5663" s="1060"/>
    </row>
    <row r="5664" spans="25:26">
      <c r="Y5664" s="1354"/>
      <c r="Z5664" s="1060"/>
    </row>
    <row r="5665" spans="25:26">
      <c r="Y5665" s="1354"/>
      <c r="Z5665" s="1060"/>
    </row>
    <row r="5666" spans="25:26">
      <c r="Y5666" s="1354"/>
      <c r="Z5666" s="1060"/>
    </row>
    <row r="5667" spans="25:26">
      <c r="Y5667" s="1354"/>
      <c r="Z5667" s="1060"/>
    </row>
    <row r="5668" spans="25:26">
      <c r="Y5668" s="1354"/>
      <c r="Z5668" s="1060"/>
    </row>
    <row r="5669" spans="25:26">
      <c r="Y5669" s="1354"/>
      <c r="Z5669" s="1060"/>
    </row>
    <row r="5670" spans="25:26">
      <c r="Y5670" s="1354"/>
      <c r="Z5670" s="1060"/>
    </row>
    <row r="5671" spans="25:26">
      <c r="Y5671" s="1354"/>
      <c r="Z5671" s="1060"/>
    </row>
    <row r="5672" spans="25:26">
      <c r="Y5672" s="1354"/>
      <c r="Z5672" s="1060"/>
    </row>
    <row r="5673" spans="25:26">
      <c r="Y5673" s="1354"/>
      <c r="Z5673" s="1060"/>
    </row>
    <row r="5674" spans="25:26">
      <c r="Y5674" s="1354"/>
      <c r="Z5674" s="1060"/>
    </row>
    <row r="5675" spans="25:26">
      <c r="Y5675" s="1354"/>
      <c r="Z5675" s="1060"/>
    </row>
    <row r="5676" spans="25:26">
      <c r="Y5676" s="1354"/>
      <c r="Z5676" s="1060"/>
    </row>
    <row r="5677" spans="25:26">
      <c r="Y5677" s="1354"/>
      <c r="Z5677" s="1060"/>
    </row>
    <row r="5678" spans="25:26">
      <c r="Y5678" s="1354"/>
      <c r="Z5678" s="1060"/>
    </row>
    <row r="5679" spans="25:26">
      <c r="Y5679" s="1354"/>
      <c r="Z5679" s="1060"/>
    </row>
    <row r="5680" spans="25:26">
      <c r="Y5680" s="1354"/>
      <c r="Z5680" s="1060"/>
    </row>
    <row r="5681" spans="25:26">
      <c r="Y5681" s="1354"/>
      <c r="Z5681" s="1060"/>
    </row>
    <row r="5682" spans="25:26">
      <c r="Y5682" s="1354"/>
      <c r="Z5682" s="1060"/>
    </row>
    <row r="5683" spans="25:26">
      <c r="Y5683" s="1354"/>
      <c r="Z5683" s="1060"/>
    </row>
    <row r="5684" spans="25:26">
      <c r="Y5684" s="1354"/>
      <c r="Z5684" s="1060"/>
    </row>
    <row r="5685" spans="25:26">
      <c r="Y5685" s="1354"/>
      <c r="Z5685" s="1060"/>
    </row>
    <row r="5686" spans="25:26">
      <c r="Y5686" s="1354"/>
      <c r="Z5686" s="1060"/>
    </row>
    <row r="5687" spans="25:26">
      <c r="Y5687" s="1354"/>
      <c r="Z5687" s="1060"/>
    </row>
    <row r="5688" spans="25:26">
      <c r="Y5688" s="1354"/>
      <c r="Z5688" s="1060"/>
    </row>
    <row r="5689" spans="25:26">
      <c r="Y5689" s="1354"/>
      <c r="Z5689" s="1060"/>
    </row>
    <row r="5690" spans="25:26">
      <c r="Y5690" s="1354"/>
      <c r="Z5690" s="1060"/>
    </row>
    <row r="5691" spans="25:26">
      <c r="Y5691" s="1354"/>
      <c r="Z5691" s="1060"/>
    </row>
    <row r="5692" spans="25:26">
      <c r="Y5692" s="1354"/>
      <c r="Z5692" s="1060"/>
    </row>
    <row r="5693" spans="25:26">
      <c r="Y5693" s="1354"/>
      <c r="Z5693" s="1060"/>
    </row>
    <row r="5694" spans="25:26">
      <c r="Y5694" s="1354"/>
      <c r="Z5694" s="1060"/>
    </row>
    <row r="5695" spans="25:26">
      <c r="Y5695" s="1354"/>
      <c r="Z5695" s="1060"/>
    </row>
    <row r="5696" spans="25:26">
      <c r="Y5696" s="1354"/>
      <c r="Z5696" s="1060"/>
    </row>
    <row r="5697" spans="25:26">
      <c r="Y5697" s="1354"/>
      <c r="Z5697" s="1060"/>
    </row>
    <row r="5698" spans="25:26">
      <c r="Y5698" s="1354"/>
      <c r="Z5698" s="1060"/>
    </row>
    <row r="5699" spans="25:26">
      <c r="Y5699" s="1354"/>
      <c r="Z5699" s="1060"/>
    </row>
    <row r="5700" spans="25:26">
      <c r="Y5700" s="1354"/>
      <c r="Z5700" s="1060"/>
    </row>
    <row r="5701" spans="25:26">
      <c r="Y5701" s="1354"/>
      <c r="Z5701" s="1060"/>
    </row>
    <row r="5702" spans="25:26">
      <c r="Y5702" s="1354"/>
      <c r="Z5702" s="1060"/>
    </row>
    <row r="5703" spans="25:26">
      <c r="Y5703" s="1354"/>
      <c r="Z5703" s="1060"/>
    </row>
    <row r="5704" spans="25:26">
      <c r="Y5704" s="1354"/>
      <c r="Z5704" s="1060"/>
    </row>
    <row r="5705" spans="25:26">
      <c r="Y5705" s="1354"/>
      <c r="Z5705" s="1060"/>
    </row>
    <row r="5706" spans="25:26">
      <c r="Y5706" s="1354"/>
      <c r="Z5706" s="1060"/>
    </row>
    <row r="5707" spans="25:26">
      <c r="Y5707" s="1354"/>
      <c r="Z5707" s="1060"/>
    </row>
    <row r="5708" spans="25:26">
      <c r="Y5708" s="1354"/>
      <c r="Z5708" s="1060"/>
    </row>
    <row r="5709" spans="25:26">
      <c r="Y5709" s="1354"/>
      <c r="Z5709" s="1060"/>
    </row>
    <row r="5710" spans="25:26">
      <c r="Y5710" s="1354"/>
      <c r="Z5710" s="1060"/>
    </row>
    <row r="5711" spans="25:26">
      <c r="Y5711" s="1354"/>
      <c r="Z5711" s="1060"/>
    </row>
    <row r="5712" spans="25:26">
      <c r="Y5712" s="1354"/>
      <c r="Z5712" s="1060"/>
    </row>
    <row r="5713" spans="25:26">
      <c r="Y5713" s="1354"/>
      <c r="Z5713" s="1060"/>
    </row>
    <row r="5714" spans="25:26">
      <c r="Y5714" s="1354"/>
      <c r="Z5714" s="1060"/>
    </row>
    <row r="5715" spans="25:26">
      <c r="Y5715" s="1354"/>
      <c r="Z5715" s="1060"/>
    </row>
    <row r="5716" spans="25:26">
      <c r="Y5716" s="1354"/>
      <c r="Z5716" s="1060"/>
    </row>
    <row r="5717" spans="25:26">
      <c r="Y5717" s="1354"/>
      <c r="Z5717" s="1060"/>
    </row>
    <row r="5718" spans="25:26">
      <c r="Y5718" s="1354"/>
      <c r="Z5718" s="1060"/>
    </row>
    <row r="5719" spans="25:26">
      <c r="Y5719" s="1354"/>
      <c r="Z5719" s="1060"/>
    </row>
    <row r="5720" spans="25:26">
      <c r="Y5720" s="1354"/>
      <c r="Z5720" s="1060"/>
    </row>
    <row r="5721" spans="25:26">
      <c r="Y5721" s="1354"/>
      <c r="Z5721" s="1060"/>
    </row>
    <row r="5722" spans="25:26">
      <c r="Y5722" s="1354"/>
      <c r="Z5722" s="1060"/>
    </row>
    <row r="5723" spans="25:26">
      <c r="Y5723" s="1354"/>
      <c r="Z5723" s="1060"/>
    </row>
    <row r="5724" spans="25:26">
      <c r="Y5724" s="1354"/>
      <c r="Z5724" s="1060"/>
    </row>
    <row r="5725" spans="25:26">
      <c r="Y5725" s="1354"/>
      <c r="Z5725" s="1060"/>
    </row>
    <row r="5726" spans="25:26">
      <c r="Y5726" s="1354"/>
      <c r="Z5726" s="1060"/>
    </row>
    <row r="5727" spans="25:26">
      <c r="Y5727" s="1354"/>
      <c r="Z5727" s="1060"/>
    </row>
    <row r="5728" spans="25:26">
      <c r="Y5728" s="1354"/>
      <c r="Z5728" s="1060"/>
    </row>
    <row r="5729" spans="25:26">
      <c r="Y5729" s="1354"/>
      <c r="Z5729" s="1060"/>
    </row>
    <row r="5730" spans="25:26">
      <c r="Y5730" s="1354"/>
      <c r="Z5730" s="1060"/>
    </row>
    <row r="5731" spans="25:26">
      <c r="Y5731" s="1354"/>
      <c r="Z5731" s="1060"/>
    </row>
    <row r="5732" spans="25:26">
      <c r="Y5732" s="1354"/>
      <c r="Z5732" s="1060"/>
    </row>
    <row r="5733" spans="25:26">
      <c r="Y5733" s="1354"/>
      <c r="Z5733" s="1060"/>
    </row>
    <row r="5734" spans="25:26">
      <c r="Y5734" s="1354"/>
      <c r="Z5734" s="1060"/>
    </row>
    <row r="5735" spans="25:26">
      <c r="Y5735" s="1354"/>
      <c r="Z5735" s="1060"/>
    </row>
    <row r="5736" spans="25:26">
      <c r="Y5736" s="1354"/>
      <c r="Z5736" s="1060"/>
    </row>
    <row r="5737" spans="25:26">
      <c r="Y5737" s="1354"/>
      <c r="Z5737" s="1060"/>
    </row>
    <row r="5738" spans="25:26">
      <c r="Y5738" s="1354"/>
      <c r="Z5738" s="1060"/>
    </row>
    <row r="5739" spans="25:26">
      <c r="Y5739" s="1354"/>
      <c r="Z5739" s="1060"/>
    </row>
    <row r="5740" spans="25:26">
      <c r="Y5740" s="1354"/>
      <c r="Z5740" s="1060"/>
    </row>
    <row r="5741" spans="25:26">
      <c r="Y5741" s="1354"/>
      <c r="Z5741" s="1060"/>
    </row>
    <row r="5742" spans="25:26">
      <c r="Y5742" s="1354"/>
      <c r="Z5742" s="1060"/>
    </row>
    <row r="5743" spans="25:26">
      <c r="Y5743" s="1354"/>
      <c r="Z5743" s="1060"/>
    </row>
    <row r="5744" spans="25:26">
      <c r="Y5744" s="1354"/>
      <c r="Z5744" s="1060"/>
    </row>
    <row r="5745" spans="25:26">
      <c r="Y5745" s="1354"/>
      <c r="Z5745" s="1060"/>
    </row>
    <row r="5746" spans="25:26">
      <c r="Y5746" s="1354"/>
      <c r="Z5746" s="1060"/>
    </row>
    <row r="5747" spans="25:26">
      <c r="Y5747" s="1354"/>
      <c r="Z5747" s="1060"/>
    </row>
    <row r="5748" spans="25:26">
      <c r="Y5748" s="1354"/>
      <c r="Z5748" s="1060"/>
    </row>
    <row r="5749" spans="25:26">
      <c r="Y5749" s="1354"/>
      <c r="Z5749" s="1060"/>
    </row>
    <row r="5750" spans="25:26">
      <c r="Y5750" s="1354"/>
      <c r="Z5750" s="1060"/>
    </row>
    <row r="5751" spans="25:26">
      <c r="Y5751" s="1354"/>
      <c r="Z5751" s="1060"/>
    </row>
    <row r="5752" spans="25:26">
      <c r="Y5752" s="1354"/>
      <c r="Z5752" s="1060"/>
    </row>
    <row r="5753" spans="25:26">
      <c r="Y5753" s="1354"/>
      <c r="Z5753" s="1060"/>
    </row>
    <row r="5754" spans="25:26">
      <c r="Y5754" s="1354"/>
      <c r="Z5754" s="1060"/>
    </row>
    <row r="5755" spans="25:26">
      <c r="Y5755" s="1354"/>
      <c r="Z5755" s="1060"/>
    </row>
    <row r="5756" spans="25:26">
      <c r="Y5756" s="1354"/>
      <c r="Z5756" s="1060"/>
    </row>
    <row r="5757" spans="25:26">
      <c r="Y5757" s="1354"/>
      <c r="Z5757" s="1060"/>
    </row>
    <row r="5758" spans="25:26">
      <c r="Y5758" s="1354"/>
      <c r="Z5758" s="1060"/>
    </row>
    <row r="5759" spans="25:26">
      <c r="Y5759" s="1354"/>
      <c r="Z5759" s="1060"/>
    </row>
    <row r="5760" spans="25:26">
      <c r="Y5760" s="1354"/>
      <c r="Z5760" s="1060"/>
    </row>
    <row r="5761" spans="25:26">
      <c r="Y5761" s="1354"/>
      <c r="Z5761" s="1060"/>
    </row>
    <row r="5762" spans="25:26">
      <c r="Y5762" s="1354"/>
      <c r="Z5762" s="1060"/>
    </row>
    <row r="5763" spans="25:26">
      <c r="Y5763" s="1354"/>
      <c r="Z5763" s="1060"/>
    </row>
    <row r="5764" spans="25:26">
      <c r="Y5764" s="1354"/>
      <c r="Z5764" s="1060"/>
    </row>
    <row r="5765" spans="25:26">
      <c r="Y5765" s="1354"/>
      <c r="Z5765" s="1060"/>
    </row>
    <row r="5766" spans="25:26">
      <c r="Y5766" s="1354"/>
      <c r="Z5766" s="1060"/>
    </row>
    <row r="5767" spans="25:26">
      <c r="Y5767" s="1354"/>
      <c r="Z5767" s="1060"/>
    </row>
    <row r="5768" spans="25:26">
      <c r="Y5768" s="1354"/>
      <c r="Z5768" s="1060"/>
    </row>
    <row r="5769" spans="25:26">
      <c r="Y5769" s="1354"/>
      <c r="Z5769" s="1060"/>
    </row>
    <row r="5770" spans="25:26">
      <c r="Y5770" s="1354"/>
      <c r="Z5770" s="1060"/>
    </row>
    <row r="5771" spans="25:26">
      <c r="Y5771" s="1354"/>
      <c r="Z5771" s="1060"/>
    </row>
    <row r="5772" spans="25:26">
      <c r="Y5772" s="1354"/>
      <c r="Z5772" s="1060"/>
    </row>
    <row r="5773" spans="25:26">
      <c r="Y5773" s="1354"/>
      <c r="Z5773" s="1060"/>
    </row>
    <row r="5774" spans="25:26">
      <c r="Y5774" s="1354"/>
      <c r="Z5774" s="1060"/>
    </row>
    <row r="5775" spans="25:26">
      <c r="Y5775" s="1354"/>
      <c r="Z5775" s="1060"/>
    </row>
    <row r="5776" spans="25:26">
      <c r="Y5776" s="1354"/>
      <c r="Z5776" s="1060"/>
    </row>
    <row r="5777" spans="25:26">
      <c r="Y5777" s="1354"/>
      <c r="Z5777" s="1060"/>
    </row>
    <row r="5778" spans="25:26">
      <c r="Y5778" s="1354"/>
      <c r="Z5778" s="1060"/>
    </row>
    <row r="5779" spans="25:26">
      <c r="Y5779" s="1354"/>
      <c r="Z5779" s="1060"/>
    </row>
    <row r="5780" spans="25:26">
      <c r="Y5780" s="1354"/>
      <c r="Z5780" s="1060"/>
    </row>
    <row r="5781" spans="25:26">
      <c r="Y5781" s="1354"/>
      <c r="Z5781" s="1060"/>
    </row>
    <row r="5782" spans="25:26">
      <c r="Y5782" s="1354"/>
      <c r="Z5782" s="1060"/>
    </row>
    <row r="5783" spans="25:26">
      <c r="Y5783" s="1354"/>
      <c r="Z5783" s="1060"/>
    </row>
    <row r="5784" spans="25:26">
      <c r="Y5784" s="1354"/>
      <c r="Z5784" s="1060"/>
    </row>
    <row r="5785" spans="25:26">
      <c r="Y5785" s="1354"/>
      <c r="Z5785" s="1060"/>
    </row>
    <row r="5786" spans="25:26">
      <c r="Y5786" s="1354"/>
      <c r="Z5786" s="1060"/>
    </row>
    <row r="5787" spans="25:26">
      <c r="Y5787" s="1354"/>
      <c r="Z5787" s="1060"/>
    </row>
    <row r="5788" spans="25:26">
      <c r="Y5788" s="1354"/>
      <c r="Z5788" s="1060"/>
    </row>
    <row r="5789" spans="25:26">
      <c r="Y5789" s="1354"/>
      <c r="Z5789" s="1060"/>
    </row>
    <row r="5790" spans="25:26">
      <c r="Y5790" s="1354"/>
      <c r="Z5790" s="1060"/>
    </row>
    <row r="5791" spans="25:26">
      <c r="Y5791" s="1354"/>
      <c r="Z5791" s="1060"/>
    </row>
    <row r="5792" spans="25:26">
      <c r="Y5792" s="1354"/>
      <c r="Z5792" s="1060"/>
    </row>
    <row r="5793" spans="25:26">
      <c r="Y5793" s="1354"/>
      <c r="Z5793" s="1060"/>
    </row>
    <row r="5794" spans="25:26">
      <c r="Y5794" s="1354"/>
      <c r="Z5794" s="1060"/>
    </row>
    <row r="5795" spans="25:26">
      <c r="Y5795" s="1354"/>
      <c r="Z5795" s="1060"/>
    </row>
    <row r="5796" spans="25:26">
      <c r="Y5796" s="1354"/>
      <c r="Z5796" s="1060"/>
    </row>
    <row r="5797" spans="25:26">
      <c r="Y5797" s="1354"/>
      <c r="Z5797" s="1060"/>
    </row>
    <row r="5798" spans="25:26">
      <c r="Y5798" s="1354"/>
      <c r="Z5798" s="1060"/>
    </row>
    <row r="5799" spans="25:26">
      <c r="Y5799" s="1354"/>
      <c r="Z5799" s="1060"/>
    </row>
    <row r="5800" spans="25:26">
      <c r="Y5800" s="1354"/>
      <c r="Z5800" s="1060"/>
    </row>
    <row r="5801" spans="25:26">
      <c r="Y5801" s="1354"/>
      <c r="Z5801" s="1060"/>
    </row>
    <row r="5802" spans="25:26">
      <c r="Y5802" s="1354"/>
      <c r="Z5802" s="1060"/>
    </row>
    <row r="5803" spans="25:26">
      <c r="Y5803" s="1354"/>
      <c r="Z5803" s="1060"/>
    </row>
    <row r="5804" spans="25:26">
      <c r="Y5804" s="1354"/>
      <c r="Z5804" s="1060"/>
    </row>
    <row r="5805" spans="25:26">
      <c r="Y5805" s="1354"/>
      <c r="Z5805" s="1060"/>
    </row>
    <row r="5806" spans="25:26">
      <c r="Y5806" s="1354"/>
      <c r="Z5806" s="1060"/>
    </row>
    <row r="5807" spans="25:26">
      <c r="Y5807" s="1354"/>
      <c r="Z5807" s="1060"/>
    </row>
    <row r="5808" spans="25:26">
      <c r="Y5808" s="1354"/>
      <c r="Z5808" s="1060"/>
    </row>
    <row r="5809" spans="25:26">
      <c r="Y5809" s="1354"/>
      <c r="Z5809" s="1060"/>
    </row>
    <row r="5810" spans="25:26">
      <c r="Y5810" s="1354"/>
      <c r="Z5810" s="1060"/>
    </row>
    <row r="5811" spans="25:26">
      <c r="Y5811" s="1354"/>
      <c r="Z5811" s="1060"/>
    </row>
    <row r="5812" spans="25:26">
      <c r="Y5812" s="1354"/>
      <c r="Z5812" s="1060"/>
    </row>
    <row r="5813" spans="25:26">
      <c r="Y5813" s="1354"/>
      <c r="Z5813" s="1060"/>
    </row>
    <row r="5814" spans="25:26">
      <c r="Y5814" s="1354"/>
      <c r="Z5814" s="1060"/>
    </row>
    <row r="5815" spans="25:26">
      <c r="Y5815" s="1354"/>
      <c r="Z5815" s="1060"/>
    </row>
    <row r="5816" spans="25:26">
      <c r="Y5816" s="1354"/>
      <c r="Z5816" s="1060"/>
    </row>
    <row r="5817" spans="25:26">
      <c r="Y5817" s="1354"/>
      <c r="Z5817" s="1060"/>
    </row>
    <row r="5818" spans="25:26">
      <c r="Y5818" s="1354"/>
      <c r="Z5818" s="1060"/>
    </row>
    <row r="5819" spans="25:26">
      <c r="Y5819" s="1354"/>
      <c r="Z5819" s="1060"/>
    </row>
    <row r="5820" spans="25:26">
      <c r="Y5820" s="1354"/>
      <c r="Z5820" s="1060"/>
    </row>
    <row r="5821" spans="25:26">
      <c r="Y5821" s="1354"/>
      <c r="Z5821" s="1060"/>
    </row>
    <row r="5822" spans="25:26">
      <c r="Y5822" s="1354"/>
      <c r="Z5822" s="1060"/>
    </row>
    <row r="5823" spans="25:26">
      <c r="Y5823" s="1354"/>
      <c r="Z5823" s="1060"/>
    </row>
    <row r="5824" spans="25:26">
      <c r="Y5824" s="1354"/>
      <c r="Z5824" s="1060"/>
    </row>
    <row r="5825" spans="25:26">
      <c r="Y5825" s="1354"/>
      <c r="Z5825" s="1060"/>
    </row>
    <row r="5826" spans="25:26">
      <c r="Y5826" s="1354"/>
      <c r="Z5826" s="1060"/>
    </row>
    <row r="5827" spans="25:26">
      <c r="Y5827" s="1354"/>
      <c r="Z5827" s="1060"/>
    </row>
    <row r="5828" spans="25:26">
      <c r="Y5828" s="1354"/>
      <c r="Z5828" s="1060"/>
    </row>
    <row r="5829" spans="25:26">
      <c r="Y5829" s="1354"/>
      <c r="Z5829" s="1060"/>
    </row>
    <row r="5830" spans="25:26">
      <c r="Y5830" s="1354"/>
      <c r="Z5830" s="1060"/>
    </row>
    <row r="5831" spans="25:26">
      <c r="Y5831" s="1354"/>
      <c r="Z5831" s="1060"/>
    </row>
    <row r="5832" spans="25:26">
      <c r="Y5832" s="1354"/>
      <c r="Z5832" s="1060"/>
    </row>
    <row r="5833" spans="25:26">
      <c r="Y5833" s="1354"/>
      <c r="Z5833" s="1060"/>
    </row>
    <row r="5834" spans="25:26">
      <c r="Y5834" s="1354"/>
      <c r="Z5834" s="1060"/>
    </row>
    <row r="5835" spans="25:26">
      <c r="Y5835" s="1354"/>
      <c r="Z5835" s="1060"/>
    </row>
    <row r="5836" spans="25:26">
      <c r="Y5836" s="1354"/>
      <c r="Z5836" s="1060"/>
    </row>
    <row r="5837" spans="25:26">
      <c r="Y5837" s="1354"/>
      <c r="Z5837" s="1060"/>
    </row>
    <row r="5838" spans="25:26">
      <c r="Y5838" s="1354"/>
      <c r="Z5838" s="1060"/>
    </row>
    <row r="5839" spans="25:26">
      <c r="Y5839" s="1354"/>
      <c r="Z5839" s="1060"/>
    </row>
    <row r="5840" spans="25:26">
      <c r="Y5840" s="1354"/>
      <c r="Z5840" s="1060"/>
    </row>
    <row r="5841" spans="25:26">
      <c r="Y5841" s="1354"/>
      <c r="Z5841" s="1060"/>
    </row>
    <row r="5842" spans="25:26">
      <c r="Y5842" s="1354"/>
      <c r="Z5842" s="1060"/>
    </row>
    <row r="5843" spans="25:26">
      <c r="Y5843" s="1354"/>
      <c r="Z5843" s="1060"/>
    </row>
    <row r="5844" spans="25:26">
      <c r="Y5844" s="1354"/>
      <c r="Z5844" s="1060"/>
    </row>
    <row r="5845" spans="25:26">
      <c r="Y5845" s="1354"/>
      <c r="Z5845" s="1060"/>
    </row>
    <row r="5846" spans="25:26">
      <c r="Y5846" s="1354"/>
      <c r="Z5846" s="1060"/>
    </row>
    <row r="5847" spans="25:26">
      <c r="Y5847" s="1354"/>
      <c r="Z5847" s="1060"/>
    </row>
    <row r="5848" spans="25:26">
      <c r="Y5848" s="1354"/>
      <c r="Z5848" s="1060"/>
    </row>
    <row r="5849" spans="25:26">
      <c r="Y5849" s="1354"/>
      <c r="Z5849" s="1060"/>
    </row>
    <row r="5850" spans="25:26">
      <c r="Y5850" s="1354"/>
      <c r="Z5850" s="1060"/>
    </row>
    <row r="5851" spans="25:26">
      <c r="Y5851" s="1354"/>
      <c r="Z5851" s="1060"/>
    </row>
    <row r="5852" spans="25:26">
      <c r="Y5852" s="1354"/>
      <c r="Z5852" s="1060"/>
    </row>
    <row r="5853" spans="25:26">
      <c r="Y5853" s="1354"/>
      <c r="Z5853" s="1060"/>
    </row>
    <row r="5854" spans="25:26">
      <c r="Y5854" s="1354"/>
      <c r="Z5854" s="1060"/>
    </row>
    <row r="5855" spans="25:26">
      <c r="Y5855" s="1354"/>
      <c r="Z5855" s="1060"/>
    </row>
    <row r="5856" spans="25:26">
      <c r="Y5856" s="1354"/>
      <c r="Z5856" s="1060"/>
    </row>
    <row r="5857" spans="25:26">
      <c r="Y5857" s="1354"/>
      <c r="Z5857" s="1060"/>
    </row>
    <row r="5858" spans="25:26">
      <c r="Y5858" s="1354"/>
      <c r="Z5858" s="1060"/>
    </row>
    <row r="5859" spans="25:26">
      <c r="Y5859" s="1354"/>
      <c r="Z5859" s="1060"/>
    </row>
    <row r="5860" spans="25:26">
      <c r="Y5860" s="1354"/>
      <c r="Z5860" s="1060"/>
    </row>
    <row r="5861" spans="25:26">
      <c r="Y5861" s="1354"/>
      <c r="Z5861" s="1060"/>
    </row>
    <row r="5862" spans="25:26">
      <c r="Y5862" s="1354"/>
      <c r="Z5862" s="1060"/>
    </row>
    <row r="5863" spans="25:26">
      <c r="Y5863" s="1354"/>
      <c r="Z5863" s="1060"/>
    </row>
    <row r="5864" spans="25:26">
      <c r="Y5864" s="1354"/>
      <c r="Z5864" s="1060"/>
    </row>
    <row r="5865" spans="25:26">
      <c r="Y5865" s="1354"/>
      <c r="Z5865" s="1060"/>
    </row>
    <row r="5866" spans="25:26">
      <c r="Y5866" s="1354"/>
      <c r="Z5866" s="1060"/>
    </row>
    <row r="5867" spans="25:26">
      <c r="Y5867" s="1354"/>
      <c r="Z5867" s="1060"/>
    </row>
    <row r="5868" spans="25:26">
      <c r="Y5868" s="1354"/>
      <c r="Z5868" s="1060"/>
    </row>
    <row r="5869" spans="25:26">
      <c r="Y5869" s="1354"/>
      <c r="Z5869" s="1060"/>
    </row>
    <row r="5870" spans="25:26">
      <c r="Y5870" s="1354"/>
      <c r="Z5870" s="1060"/>
    </row>
    <row r="5871" spans="25:26">
      <c r="Y5871" s="1354"/>
      <c r="Z5871" s="1060"/>
    </row>
    <row r="5872" spans="25:26">
      <c r="Y5872" s="1354"/>
      <c r="Z5872" s="1060"/>
    </row>
    <row r="5873" spans="25:26">
      <c r="Y5873" s="1354"/>
      <c r="Z5873" s="1060"/>
    </row>
    <row r="5874" spans="25:26">
      <c r="Y5874" s="1354"/>
      <c r="Z5874" s="1060"/>
    </row>
    <row r="5875" spans="25:26">
      <c r="Y5875" s="1354"/>
      <c r="Z5875" s="1060"/>
    </row>
    <row r="5876" spans="25:26">
      <c r="Y5876" s="1354"/>
      <c r="Z5876" s="1060"/>
    </row>
    <row r="5877" spans="25:26">
      <c r="Y5877" s="1354"/>
      <c r="Z5877" s="1060"/>
    </row>
    <row r="5878" spans="25:26">
      <c r="Y5878" s="1354"/>
      <c r="Z5878" s="1060"/>
    </row>
    <row r="5879" spans="25:26">
      <c r="Y5879" s="1354"/>
      <c r="Z5879" s="1060"/>
    </row>
    <row r="5880" spans="25:26">
      <c r="Y5880" s="1354"/>
      <c r="Z5880" s="1060"/>
    </row>
    <row r="5881" spans="25:26">
      <c r="Y5881" s="1354"/>
      <c r="Z5881" s="1060"/>
    </row>
    <row r="5882" spans="25:26">
      <c r="Y5882" s="1354"/>
      <c r="Z5882" s="1060"/>
    </row>
    <row r="5883" spans="25:26">
      <c r="Y5883" s="1354"/>
      <c r="Z5883" s="1060"/>
    </row>
    <row r="5884" spans="25:26">
      <c r="Y5884" s="1354"/>
      <c r="Z5884" s="1060"/>
    </row>
    <row r="5885" spans="25:26">
      <c r="Y5885" s="1354"/>
      <c r="Z5885" s="1060"/>
    </row>
    <row r="5886" spans="25:26">
      <c r="Y5886" s="1354"/>
      <c r="Z5886" s="1060"/>
    </row>
    <row r="5887" spans="25:26">
      <c r="Y5887" s="1354"/>
      <c r="Z5887" s="1060"/>
    </row>
    <row r="5888" spans="25:26">
      <c r="Y5888" s="1354"/>
      <c r="Z5888" s="1060"/>
    </row>
    <row r="5889" spans="25:26">
      <c r="Y5889" s="1354"/>
      <c r="Z5889" s="1060"/>
    </row>
    <row r="5890" spans="25:26">
      <c r="Y5890" s="1354"/>
      <c r="Z5890" s="1060"/>
    </row>
    <row r="5891" spans="25:26">
      <c r="Y5891" s="1354"/>
      <c r="Z5891" s="1060"/>
    </row>
    <row r="5892" spans="25:26">
      <c r="Y5892" s="1354"/>
      <c r="Z5892" s="1060"/>
    </row>
    <row r="5893" spans="25:26">
      <c r="Y5893" s="1354"/>
      <c r="Z5893" s="1060"/>
    </row>
    <row r="5894" spans="25:26">
      <c r="Y5894" s="1354"/>
      <c r="Z5894" s="1060"/>
    </row>
    <row r="5895" spans="25:26">
      <c r="Y5895" s="1354"/>
      <c r="Z5895" s="1060"/>
    </row>
    <row r="5896" spans="25:26">
      <c r="Y5896" s="1354"/>
      <c r="Z5896" s="1060"/>
    </row>
    <row r="5897" spans="25:26">
      <c r="Y5897" s="1354"/>
      <c r="Z5897" s="1060"/>
    </row>
    <row r="5898" spans="25:26">
      <c r="Y5898" s="1354"/>
      <c r="Z5898" s="1060"/>
    </row>
    <row r="5899" spans="25:26">
      <c r="Y5899" s="1354"/>
      <c r="Z5899" s="1060"/>
    </row>
    <row r="5900" spans="25:26">
      <c r="Y5900" s="1354"/>
      <c r="Z5900" s="1060"/>
    </row>
    <row r="5901" spans="25:26">
      <c r="Y5901" s="1354"/>
      <c r="Z5901" s="1060"/>
    </row>
    <row r="5902" spans="25:26">
      <c r="Y5902" s="1354"/>
      <c r="Z5902" s="1060"/>
    </row>
    <row r="5903" spans="25:26">
      <c r="Y5903" s="1354"/>
      <c r="Z5903" s="1060"/>
    </row>
    <row r="5904" spans="25:26">
      <c r="Y5904" s="1354"/>
      <c r="Z5904" s="1060"/>
    </row>
    <row r="5905" spans="25:26">
      <c r="Y5905" s="1354"/>
      <c r="Z5905" s="1060"/>
    </row>
    <row r="5906" spans="25:26">
      <c r="Y5906" s="1354"/>
      <c r="Z5906" s="1060"/>
    </row>
    <row r="5907" spans="25:26">
      <c r="Y5907" s="1354"/>
      <c r="Z5907" s="1060"/>
    </row>
    <row r="5908" spans="25:26">
      <c r="Y5908" s="1354"/>
      <c r="Z5908" s="1060"/>
    </row>
    <row r="5909" spans="25:26">
      <c r="Y5909" s="1354"/>
      <c r="Z5909" s="1060"/>
    </row>
    <row r="5910" spans="25:26">
      <c r="Y5910" s="1354"/>
      <c r="Z5910" s="1060"/>
    </row>
    <row r="5911" spans="25:26">
      <c r="Y5911" s="1354"/>
      <c r="Z5911" s="1060"/>
    </row>
    <row r="5912" spans="25:26">
      <c r="Y5912" s="1354"/>
      <c r="Z5912" s="1060"/>
    </row>
    <row r="5913" spans="25:26">
      <c r="Y5913" s="1354"/>
      <c r="Z5913" s="1060"/>
    </row>
    <row r="5914" spans="25:26">
      <c r="Y5914" s="1354"/>
      <c r="Z5914" s="1060"/>
    </row>
    <row r="5915" spans="25:26">
      <c r="Y5915" s="1354"/>
      <c r="Z5915" s="1060"/>
    </row>
    <row r="5916" spans="25:26">
      <c r="Y5916" s="1354"/>
      <c r="Z5916" s="1060"/>
    </row>
    <row r="5917" spans="25:26">
      <c r="Y5917" s="1354"/>
      <c r="Z5917" s="1060"/>
    </row>
    <row r="5918" spans="25:26">
      <c r="Y5918" s="1354"/>
      <c r="Z5918" s="1060"/>
    </row>
    <row r="5919" spans="25:26">
      <c r="Y5919" s="1354"/>
      <c r="Z5919" s="1060"/>
    </row>
    <row r="5920" spans="25:26">
      <c r="Y5920" s="1354"/>
      <c r="Z5920" s="1060"/>
    </row>
    <row r="5921" spans="25:26">
      <c r="Y5921" s="1354"/>
      <c r="Z5921" s="1060"/>
    </row>
    <row r="5922" spans="25:26">
      <c r="Y5922" s="1354"/>
      <c r="Z5922" s="1060"/>
    </row>
    <row r="5923" spans="25:26">
      <c r="Y5923" s="1354"/>
      <c r="Z5923" s="1060"/>
    </row>
    <row r="5924" spans="25:26">
      <c r="Y5924" s="1354"/>
      <c r="Z5924" s="1060"/>
    </row>
    <row r="5925" spans="25:26">
      <c r="Y5925" s="1354"/>
      <c r="Z5925" s="1060"/>
    </row>
    <row r="5926" spans="25:26">
      <c r="Y5926" s="1354"/>
      <c r="Z5926" s="1060"/>
    </row>
    <row r="5927" spans="25:26">
      <c r="Y5927" s="1354"/>
      <c r="Z5927" s="1060"/>
    </row>
    <row r="5928" spans="25:26">
      <c r="Y5928" s="1354"/>
      <c r="Z5928" s="1060"/>
    </row>
    <row r="5929" spans="25:26">
      <c r="Y5929" s="1354"/>
      <c r="Z5929" s="1060"/>
    </row>
    <row r="5930" spans="25:26">
      <c r="Y5930" s="1354"/>
      <c r="Z5930" s="1060"/>
    </row>
    <row r="5931" spans="25:26">
      <c r="Y5931" s="1354"/>
      <c r="Z5931" s="1060"/>
    </row>
    <row r="5932" spans="25:26">
      <c r="Y5932" s="1354"/>
      <c r="Z5932" s="1060"/>
    </row>
    <row r="5933" spans="25:26">
      <c r="Y5933" s="1354"/>
      <c r="Z5933" s="1060"/>
    </row>
    <row r="5934" spans="25:26">
      <c r="Y5934" s="1354"/>
      <c r="Z5934" s="1060"/>
    </row>
    <row r="5935" spans="25:26">
      <c r="Y5935" s="1354"/>
      <c r="Z5935" s="1060"/>
    </row>
    <row r="5936" spans="25:26">
      <c r="Y5936" s="1354"/>
      <c r="Z5936" s="1060"/>
    </row>
    <row r="5937" spans="25:26">
      <c r="Y5937" s="1354"/>
      <c r="Z5937" s="1060"/>
    </row>
    <row r="5938" spans="25:26">
      <c r="Y5938" s="1354"/>
      <c r="Z5938" s="1060"/>
    </row>
    <row r="5939" spans="25:26">
      <c r="Y5939" s="1354"/>
      <c r="Z5939" s="1060"/>
    </row>
    <row r="5940" spans="25:26">
      <c r="Y5940" s="1354"/>
      <c r="Z5940" s="1060"/>
    </row>
    <row r="5941" spans="25:26">
      <c r="Y5941" s="1354"/>
      <c r="Z5941" s="1060"/>
    </row>
    <row r="5942" spans="25:26">
      <c r="Y5942" s="1354"/>
      <c r="Z5942" s="1060"/>
    </row>
    <row r="5943" spans="25:26">
      <c r="Y5943" s="1354"/>
      <c r="Z5943" s="1060"/>
    </row>
    <row r="5944" spans="25:26">
      <c r="Y5944" s="1354"/>
      <c r="Z5944" s="1060"/>
    </row>
    <row r="5945" spans="25:26">
      <c r="Y5945" s="1354"/>
      <c r="Z5945" s="1060"/>
    </row>
    <row r="5946" spans="25:26">
      <c r="Y5946" s="1354"/>
      <c r="Z5946" s="1060"/>
    </row>
    <row r="5947" spans="25:26">
      <c r="Y5947" s="1354"/>
      <c r="Z5947" s="1060"/>
    </row>
    <row r="5948" spans="25:26">
      <c r="Y5948" s="1354"/>
      <c r="Z5948" s="1060"/>
    </row>
    <row r="5949" spans="25:26">
      <c r="Y5949" s="1354"/>
      <c r="Z5949" s="1060"/>
    </row>
    <row r="5950" spans="25:26">
      <c r="Y5950" s="1354"/>
      <c r="Z5950" s="1060"/>
    </row>
    <row r="5951" spans="25:26">
      <c r="Y5951" s="1354"/>
      <c r="Z5951" s="1060"/>
    </row>
    <row r="5952" spans="25:26">
      <c r="Y5952" s="1354"/>
      <c r="Z5952" s="1060"/>
    </row>
    <row r="5953" spans="25:26">
      <c r="Y5953" s="1354"/>
      <c r="Z5953" s="1060"/>
    </row>
    <row r="5954" spans="25:26">
      <c r="Y5954" s="1354"/>
      <c r="Z5954" s="1060"/>
    </row>
    <row r="5955" spans="25:26">
      <c r="Y5955" s="1354"/>
      <c r="Z5955" s="1060"/>
    </row>
    <row r="5956" spans="25:26">
      <c r="Y5956" s="1354"/>
      <c r="Z5956" s="1060"/>
    </row>
    <row r="5957" spans="25:26">
      <c r="Y5957" s="1354"/>
      <c r="Z5957" s="1060"/>
    </row>
    <row r="5958" spans="25:26">
      <c r="Y5958" s="1354"/>
      <c r="Z5958" s="1060"/>
    </row>
    <row r="5959" spans="25:26">
      <c r="Y5959" s="1354"/>
      <c r="Z5959" s="1060"/>
    </row>
    <row r="5960" spans="25:26">
      <c r="Y5960" s="1354"/>
      <c r="Z5960" s="1060"/>
    </row>
    <row r="5961" spans="25:26">
      <c r="Y5961" s="1354"/>
      <c r="Z5961" s="1060"/>
    </row>
    <row r="5962" spans="25:26">
      <c r="Y5962" s="1354"/>
      <c r="Z5962" s="1060"/>
    </row>
    <row r="5963" spans="25:26">
      <c r="Y5963" s="1354"/>
      <c r="Z5963" s="1060"/>
    </row>
    <row r="5964" spans="25:26">
      <c r="Y5964" s="1354"/>
      <c r="Z5964" s="1060"/>
    </row>
    <row r="5965" spans="25:26">
      <c r="Y5965" s="1354"/>
      <c r="Z5965" s="1060"/>
    </row>
    <row r="5966" spans="25:26">
      <c r="Y5966" s="1354"/>
      <c r="Z5966" s="1060"/>
    </row>
    <row r="5967" spans="25:26">
      <c r="Y5967" s="1354"/>
      <c r="Z5967" s="1060"/>
    </row>
    <row r="5968" spans="25:26">
      <c r="Y5968" s="1354"/>
      <c r="Z5968" s="1060"/>
    </row>
    <row r="5969" spans="25:26">
      <c r="Y5969" s="1354"/>
      <c r="Z5969" s="1060"/>
    </row>
    <row r="5970" spans="25:26">
      <c r="Y5970" s="1354"/>
      <c r="Z5970" s="1060"/>
    </row>
    <row r="5971" spans="25:26">
      <c r="Y5971" s="1354"/>
      <c r="Z5971" s="1060"/>
    </row>
    <row r="5972" spans="25:26">
      <c r="Y5972" s="1354"/>
      <c r="Z5972" s="1060"/>
    </row>
    <row r="5973" spans="25:26">
      <c r="Y5973" s="1354"/>
      <c r="Z5973" s="1060"/>
    </row>
    <row r="5974" spans="25:26">
      <c r="Y5974" s="1354"/>
      <c r="Z5974" s="1060"/>
    </row>
    <row r="5975" spans="25:26">
      <c r="Y5975" s="1354"/>
      <c r="Z5975" s="1060"/>
    </row>
    <row r="5976" spans="25:26">
      <c r="Y5976" s="1354"/>
      <c r="Z5976" s="1060"/>
    </row>
    <row r="5977" spans="25:26">
      <c r="Y5977" s="1354"/>
      <c r="Z5977" s="1060"/>
    </row>
    <row r="5978" spans="25:26">
      <c r="Y5978" s="1354"/>
      <c r="Z5978" s="1060"/>
    </row>
    <row r="5979" spans="25:26">
      <c r="Y5979" s="1354"/>
      <c r="Z5979" s="1060"/>
    </row>
    <row r="5980" spans="25:26">
      <c r="Y5980" s="1354"/>
      <c r="Z5980" s="1060"/>
    </row>
    <row r="5981" spans="25:26">
      <c r="Y5981" s="1354"/>
      <c r="Z5981" s="1060"/>
    </row>
    <row r="5982" spans="25:26">
      <c r="Y5982" s="1354"/>
      <c r="Z5982" s="1060"/>
    </row>
    <row r="5983" spans="25:26">
      <c r="Y5983" s="1354"/>
      <c r="Z5983" s="1060"/>
    </row>
    <row r="5984" spans="25:26">
      <c r="Y5984" s="1354"/>
      <c r="Z5984" s="1060"/>
    </row>
    <row r="5985" spans="25:26">
      <c r="Y5985" s="1354"/>
      <c r="Z5985" s="1060"/>
    </row>
    <row r="5986" spans="25:26">
      <c r="Y5986" s="1354"/>
      <c r="Z5986" s="1060"/>
    </row>
    <row r="5987" spans="25:26">
      <c r="Y5987" s="1354"/>
      <c r="Z5987" s="1060"/>
    </row>
    <row r="5988" spans="25:26">
      <c r="Y5988" s="1354"/>
      <c r="Z5988" s="1060"/>
    </row>
    <row r="5989" spans="25:26">
      <c r="Y5989" s="1354"/>
      <c r="Z5989" s="1060"/>
    </row>
    <row r="5990" spans="25:26">
      <c r="Y5990" s="1354"/>
      <c r="Z5990" s="1060"/>
    </row>
    <row r="5991" spans="25:26">
      <c r="Y5991" s="1354"/>
      <c r="Z5991" s="1060"/>
    </row>
    <row r="5992" spans="25:26">
      <c r="Y5992" s="1354"/>
      <c r="Z5992" s="1060"/>
    </row>
    <row r="5993" spans="25:26">
      <c r="Y5993" s="1354"/>
      <c r="Z5993" s="1060"/>
    </row>
    <row r="5994" spans="25:26">
      <c r="Y5994" s="1354"/>
      <c r="Z5994" s="1060"/>
    </row>
    <row r="5995" spans="25:26">
      <c r="Y5995" s="1354"/>
      <c r="Z5995" s="1060"/>
    </row>
    <row r="5996" spans="25:26">
      <c r="Y5996" s="1354"/>
      <c r="Z5996" s="1060"/>
    </row>
    <row r="5997" spans="25:26">
      <c r="Y5997" s="1354"/>
      <c r="Z5997" s="1060"/>
    </row>
    <row r="5998" spans="25:26">
      <c r="Y5998" s="1354"/>
      <c r="Z5998" s="1060"/>
    </row>
    <row r="5999" spans="25:26">
      <c r="Y5999" s="1354"/>
      <c r="Z5999" s="1060"/>
    </row>
    <row r="6000" spans="25:26">
      <c r="Y6000" s="1354"/>
      <c r="Z6000" s="1060"/>
    </row>
    <row r="6001" spans="25:26">
      <c r="Y6001" s="1354"/>
      <c r="Z6001" s="1060"/>
    </row>
    <row r="6002" spans="25:26">
      <c r="Y6002" s="1354"/>
      <c r="Z6002" s="1060"/>
    </row>
    <row r="6003" spans="25:26">
      <c r="Y6003" s="1354"/>
      <c r="Z6003" s="1060"/>
    </row>
    <row r="6004" spans="25:26">
      <c r="Y6004" s="1354"/>
      <c r="Z6004" s="1060"/>
    </row>
    <row r="6005" spans="25:26">
      <c r="Y6005" s="1354"/>
      <c r="Z6005" s="1060"/>
    </row>
    <row r="6006" spans="25:26">
      <c r="Y6006" s="1354"/>
      <c r="Z6006" s="1060"/>
    </row>
    <row r="6007" spans="25:26">
      <c r="Y6007" s="1354"/>
      <c r="Z6007" s="1060"/>
    </row>
    <row r="6008" spans="25:26">
      <c r="Y6008" s="1354"/>
      <c r="Z6008" s="1060"/>
    </row>
    <row r="6009" spans="25:26">
      <c r="Y6009" s="1354"/>
      <c r="Z6009" s="1060"/>
    </row>
    <row r="6010" spans="25:26">
      <c r="Y6010" s="1354"/>
      <c r="Z6010" s="1060"/>
    </row>
    <row r="6011" spans="25:26">
      <c r="Y6011" s="1354"/>
      <c r="Z6011" s="1060"/>
    </row>
    <row r="6012" spans="25:26">
      <c r="Y6012" s="1354"/>
      <c r="Z6012" s="1060"/>
    </row>
    <row r="6013" spans="25:26">
      <c r="Y6013" s="1354"/>
      <c r="Z6013" s="1060"/>
    </row>
    <row r="6014" spans="25:26">
      <c r="Y6014" s="1354"/>
      <c r="Z6014" s="1060"/>
    </row>
    <row r="6015" spans="25:26">
      <c r="Y6015" s="1354"/>
      <c r="Z6015" s="1060"/>
    </row>
    <row r="6016" spans="25:26">
      <c r="Y6016" s="1354"/>
      <c r="Z6016" s="1060"/>
    </row>
    <row r="6017" spans="25:26">
      <c r="Y6017" s="1354"/>
      <c r="Z6017" s="1060"/>
    </row>
    <row r="6018" spans="25:26">
      <c r="Y6018" s="1354"/>
      <c r="Z6018" s="1060"/>
    </row>
    <row r="6019" spans="25:26">
      <c r="Y6019" s="1354"/>
      <c r="Z6019" s="1060"/>
    </row>
    <row r="6020" spans="25:26">
      <c r="Y6020" s="1354"/>
      <c r="Z6020" s="1060"/>
    </row>
    <row r="6021" spans="25:26">
      <c r="Y6021" s="1354"/>
      <c r="Z6021" s="1060"/>
    </row>
    <row r="6022" spans="25:26">
      <c r="Y6022" s="1354"/>
      <c r="Z6022" s="1060"/>
    </row>
    <row r="6023" spans="25:26">
      <c r="Y6023" s="1354"/>
      <c r="Z6023" s="1060"/>
    </row>
    <row r="6024" spans="25:26">
      <c r="Y6024" s="1354"/>
      <c r="Z6024" s="1060"/>
    </row>
    <row r="6025" spans="25:26">
      <c r="Y6025" s="1354"/>
      <c r="Z6025" s="1060"/>
    </row>
    <row r="6026" spans="25:26">
      <c r="Y6026" s="1354"/>
      <c r="Z6026" s="1060"/>
    </row>
    <row r="6027" spans="25:26">
      <c r="Y6027" s="1354"/>
      <c r="Z6027" s="1060"/>
    </row>
    <row r="6028" spans="25:26">
      <c r="Y6028" s="1354"/>
      <c r="Z6028" s="1060"/>
    </row>
    <row r="6029" spans="25:26">
      <c r="Y6029" s="1354"/>
      <c r="Z6029" s="1060"/>
    </row>
    <row r="6030" spans="25:26">
      <c r="Y6030" s="1354"/>
      <c r="Z6030" s="1060"/>
    </row>
    <row r="6031" spans="25:26">
      <c r="Y6031" s="1354"/>
      <c r="Z6031" s="1060"/>
    </row>
    <row r="6032" spans="25:26">
      <c r="Y6032" s="1354"/>
      <c r="Z6032" s="1060"/>
    </row>
    <row r="6033" spans="25:26">
      <c r="Y6033" s="1354"/>
      <c r="Z6033" s="1060"/>
    </row>
    <row r="6034" spans="25:26">
      <c r="Y6034" s="1354"/>
      <c r="Z6034" s="1060"/>
    </row>
    <row r="6035" spans="25:26">
      <c r="Y6035" s="1354"/>
      <c r="Z6035" s="1060"/>
    </row>
    <row r="6036" spans="25:26">
      <c r="Y6036" s="1354"/>
      <c r="Z6036" s="1060"/>
    </row>
    <row r="6037" spans="25:26">
      <c r="Y6037" s="1354"/>
      <c r="Z6037" s="1060"/>
    </row>
    <row r="6038" spans="25:26">
      <c r="Y6038" s="1354"/>
      <c r="Z6038" s="1060"/>
    </row>
    <row r="6039" spans="25:26">
      <c r="Y6039" s="1354"/>
      <c r="Z6039" s="1060"/>
    </row>
    <row r="6040" spans="25:26">
      <c r="Y6040" s="1354"/>
      <c r="Z6040" s="1060"/>
    </row>
    <row r="6041" spans="25:26">
      <c r="Y6041" s="1354"/>
      <c r="Z6041" s="1060"/>
    </row>
    <row r="6042" spans="25:26">
      <c r="Y6042" s="1354"/>
      <c r="Z6042" s="1060"/>
    </row>
    <row r="6043" spans="25:26">
      <c r="Y6043" s="1354"/>
      <c r="Z6043" s="1060"/>
    </row>
    <row r="6044" spans="25:26">
      <c r="Y6044" s="1354"/>
      <c r="Z6044" s="1060"/>
    </row>
    <row r="6045" spans="25:26">
      <c r="Y6045" s="1354"/>
      <c r="Z6045" s="1060"/>
    </row>
    <row r="6046" spans="25:26">
      <c r="Y6046" s="1354"/>
      <c r="Z6046" s="1060"/>
    </row>
    <row r="6047" spans="25:26">
      <c r="Y6047" s="1354"/>
      <c r="Z6047" s="1060"/>
    </row>
    <row r="6048" spans="25:26">
      <c r="Y6048" s="1354"/>
      <c r="Z6048" s="1060"/>
    </row>
    <row r="6049" spans="25:26">
      <c r="Y6049" s="1354"/>
      <c r="Z6049" s="1060"/>
    </row>
    <row r="6050" spans="25:26">
      <c r="Y6050" s="1354"/>
      <c r="Z6050" s="1060"/>
    </row>
    <row r="6051" spans="25:26">
      <c r="Y6051" s="1354"/>
      <c r="Z6051" s="1060"/>
    </row>
    <row r="6052" spans="25:26">
      <c r="Y6052" s="1354"/>
      <c r="Z6052" s="1060"/>
    </row>
    <row r="6053" spans="25:26">
      <c r="Y6053" s="1354"/>
      <c r="Z6053" s="1060"/>
    </row>
    <row r="6054" spans="25:26">
      <c r="Y6054" s="1354"/>
      <c r="Z6054" s="1060"/>
    </row>
    <row r="6055" spans="25:26">
      <c r="Y6055" s="1354"/>
      <c r="Z6055" s="1060"/>
    </row>
    <row r="6056" spans="25:26">
      <c r="Y6056" s="1354"/>
      <c r="Z6056" s="1060"/>
    </row>
    <row r="6057" spans="25:26">
      <c r="Y6057" s="1354"/>
      <c r="Z6057" s="1060"/>
    </row>
    <row r="6058" spans="25:26">
      <c r="Y6058" s="1354"/>
      <c r="Z6058" s="1060"/>
    </row>
    <row r="6059" spans="25:26">
      <c r="Y6059" s="1354"/>
      <c r="Z6059" s="1060"/>
    </row>
    <row r="6060" spans="25:26">
      <c r="Y6060" s="1354"/>
      <c r="Z6060" s="1060"/>
    </row>
    <row r="6061" spans="25:26">
      <c r="Y6061" s="1354"/>
      <c r="Z6061" s="1060"/>
    </row>
    <row r="6062" spans="25:26">
      <c r="Y6062" s="1354"/>
      <c r="Z6062" s="1060"/>
    </row>
    <row r="6063" spans="25:26">
      <c r="Y6063" s="1354"/>
      <c r="Z6063" s="1060"/>
    </row>
    <row r="6064" spans="25:26">
      <c r="Y6064" s="1354"/>
      <c r="Z6064" s="1060"/>
    </row>
    <row r="6065" spans="25:26">
      <c r="Y6065" s="1354"/>
      <c r="Z6065" s="1060"/>
    </row>
    <row r="6066" spans="25:26">
      <c r="Y6066" s="1354"/>
      <c r="Z6066" s="1060"/>
    </row>
    <row r="6067" spans="25:26">
      <c r="Y6067" s="1354"/>
      <c r="Z6067" s="1060"/>
    </row>
    <row r="6068" spans="25:26">
      <c r="Y6068" s="1354"/>
      <c r="Z6068" s="1060"/>
    </row>
    <row r="6069" spans="25:26">
      <c r="Y6069" s="1354"/>
      <c r="Z6069" s="1060"/>
    </row>
    <row r="6070" spans="25:26">
      <c r="Y6070" s="1354"/>
      <c r="Z6070" s="1060"/>
    </row>
    <row r="6071" spans="25:26">
      <c r="Y6071" s="1354"/>
      <c r="Z6071" s="1060"/>
    </row>
    <row r="6072" spans="25:26">
      <c r="Y6072" s="1354"/>
      <c r="Z6072" s="1060"/>
    </row>
    <row r="6073" spans="25:26">
      <c r="Y6073" s="1354"/>
      <c r="Z6073" s="1060"/>
    </row>
    <row r="6074" spans="25:26">
      <c r="Y6074" s="1354"/>
      <c r="Z6074" s="1060"/>
    </row>
    <row r="6075" spans="25:26">
      <c r="Y6075" s="1354"/>
      <c r="Z6075" s="1060"/>
    </row>
    <row r="6076" spans="25:26">
      <c r="Y6076" s="1354"/>
      <c r="Z6076" s="1060"/>
    </row>
    <row r="6077" spans="25:26">
      <c r="Y6077" s="1354"/>
      <c r="Z6077" s="1060"/>
    </row>
    <row r="6078" spans="25:26">
      <c r="Y6078" s="1354"/>
      <c r="Z6078" s="1060"/>
    </row>
    <row r="6079" spans="25:26">
      <c r="Y6079" s="1354"/>
      <c r="Z6079" s="1060"/>
    </row>
    <row r="6080" spans="25:26">
      <c r="Y6080" s="1354"/>
      <c r="Z6080" s="1060"/>
    </row>
    <row r="6081" spans="25:26">
      <c r="Y6081" s="1354"/>
      <c r="Z6081" s="1060"/>
    </row>
    <row r="6082" spans="25:26">
      <c r="Y6082" s="1354"/>
      <c r="Z6082" s="1060"/>
    </row>
    <row r="6083" spans="25:26">
      <c r="Y6083" s="1354"/>
      <c r="Z6083" s="1060"/>
    </row>
    <row r="6084" spans="25:26">
      <c r="Y6084" s="1354"/>
      <c r="Z6084" s="1060"/>
    </row>
    <row r="6085" spans="25:26">
      <c r="Y6085" s="1354"/>
      <c r="Z6085" s="1060"/>
    </row>
    <row r="6086" spans="25:26">
      <c r="Y6086" s="1354"/>
      <c r="Z6086" s="1060"/>
    </row>
    <row r="6087" spans="25:26">
      <c r="Y6087" s="1354"/>
      <c r="Z6087" s="1060"/>
    </row>
    <row r="6088" spans="25:26">
      <c r="Y6088" s="1354"/>
      <c r="Z6088" s="1060"/>
    </row>
    <row r="6089" spans="25:26">
      <c r="Y6089" s="1354"/>
      <c r="Z6089" s="1060"/>
    </row>
    <row r="6090" spans="25:26">
      <c r="Y6090" s="1354"/>
      <c r="Z6090" s="1060"/>
    </row>
    <row r="6091" spans="25:26">
      <c r="Y6091" s="1354"/>
      <c r="Z6091" s="1060"/>
    </row>
    <row r="6092" spans="25:26">
      <c r="Y6092" s="1354"/>
      <c r="Z6092" s="1060"/>
    </row>
    <row r="6093" spans="25:26">
      <c r="Y6093" s="1354"/>
      <c r="Z6093" s="1060"/>
    </row>
    <row r="6094" spans="25:26">
      <c r="Y6094" s="1354"/>
      <c r="Z6094" s="1060"/>
    </row>
    <row r="6095" spans="25:26">
      <c r="Y6095" s="1354"/>
      <c r="Z6095" s="1060"/>
    </row>
    <row r="6096" spans="25:26">
      <c r="Y6096" s="1354"/>
      <c r="Z6096" s="1060"/>
    </row>
    <row r="6097" spans="25:26">
      <c r="Y6097" s="1354"/>
      <c r="Z6097" s="1060"/>
    </row>
    <row r="6098" spans="25:26">
      <c r="Y6098" s="1354"/>
      <c r="Z6098" s="1060"/>
    </row>
    <row r="6099" spans="25:26">
      <c r="Y6099" s="1354"/>
      <c r="Z6099" s="1060"/>
    </row>
    <row r="6100" spans="25:26">
      <c r="Y6100" s="1354"/>
      <c r="Z6100" s="1060"/>
    </row>
    <row r="6101" spans="25:26">
      <c r="Y6101" s="1354"/>
      <c r="Z6101" s="1060"/>
    </row>
    <row r="6102" spans="25:26">
      <c r="Y6102" s="1354"/>
      <c r="Z6102" s="1060"/>
    </row>
    <row r="6103" spans="25:26">
      <c r="Y6103" s="1354"/>
      <c r="Z6103" s="1060"/>
    </row>
    <row r="6104" spans="25:26">
      <c r="Y6104" s="1354"/>
      <c r="Z6104" s="1060"/>
    </row>
    <row r="6105" spans="25:26">
      <c r="Y6105" s="1354"/>
      <c r="Z6105" s="1060"/>
    </row>
    <row r="6106" spans="25:26">
      <c r="Y6106" s="1354"/>
      <c r="Z6106" s="1060"/>
    </row>
    <row r="6107" spans="25:26">
      <c r="Y6107" s="1354"/>
      <c r="Z6107" s="1060"/>
    </row>
    <row r="6108" spans="25:26">
      <c r="Y6108" s="1354"/>
      <c r="Z6108" s="1060"/>
    </row>
    <row r="6109" spans="25:26">
      <c r="Y6109" s="1354"/>
      <c r="Z6109" s="1060"/>
    </row>
    <row r="6110" spans="25:26">
      <c r="Y6110" s="1354"/>
      <c r="Z6110" s="1060"/>
    </row>
    <row r="6111" spans="25:26">
      <c r="Y6111" s="1354"/>
      <c r="Z6111" s="1060"/>
    </row>
    <row r="6112" spans="25:26">
      <c r="Y6112" s="1354"/>
      <c r="Z6112" s="1060"/>
    </row>
    <row r="6113" spans="25:26">
      <c r="Y6113" s="1354"/>
      <c r="Z6113" s="1060"/>
    </row>
    <row r="6114" spans="25:26">
      <c r="Y6114" s="1354"/>
      <c r="Z6114" s="1060"/>
    </row>
    <row r="6115" spans="25:26">
      <c r="Y6115" s="1354"/>
      <c r="Z6115" s="1060"/>
    </row>
    <row r="6116" spans="25:26">
      <c r="Y6116" s="1354"/>
      <c r="Z6116" s="1060"/>
    </row>
    <row r="6117" spans="25:26">
      <c r="Y6117" s="1354"/>
      <c r="Z6117" s="1060"/>
    </row>
    <row r="6118" spans="25:26">
      <c r="Y6118" s="1354"/>
      <c r="Z6118" s="1060"/>
    </row>
    <row r="6119" spans="25:26">
      <c r="Y6119" s="1354"/>
      <c r="Z6119" s="1060"/>
    </row>
    <row r="6120" spans="25:26">
      <c r="Y6120" s="1354"/>
      <c r="Z6120" s="1060"/>
    </row>
    <row r="6121" spans="25:26">
      <c r="Y6121" s="1354"/>
      <c r="Z6121" s="1060"/>
    </row>
    <row r="6122" spans="25:26">
      <c r="Y6122" s="1354"/>
      <c r="Z6122" s="1060"/>
    </row>
    <row r="6123" spans="25:26">
      <c r="Y6123" s="1354"/>
      <c r="Z6123" s="1060"/>
    </row>
    <row r="6124" spans="25:26">
      <c r="Y6124" s="1354"/>
      <c r="Z6124" s="1060"/>
    </row>
    <row r="6125" spans="25:26">
      <c r="Y6125" s="1354"/>
      <c r="Z6125" s="1060"/>
    </row>
    <row r="6126" spans="25:26">
      <c r="Y6126" s="1354"/>
      <c r="Z6126" s="1060"/>
    </row>
    <row r="6127" spans="25:26">
      <c r="Y6127" s="1354"/>
      <c r="Z6127" s="1060"/>
    </row>
    <row r="6128" spans="25:26">
      <c r="Y6128" s="1354"/>
      <c r="Z6128" s="1060"/>
    </row>
    <row r="6129" spans="25:26">
      <c r="Y6129" s="1354"/>
      <c r="Z6129" s="1060"/>
    </row>
    <row r="6130" spans="25:26">
      <c r="Y6130" s="1354"/>
      <c r="Z6130" s="1060"/>
    </row>
    <row r="6131" spans="25:26">
      <c r="Y6131" s="1354"/>
      <c r="Z6131" s="1060"/>
    </row>
    <row r="6132" spans="25:26">
      <c r="Y6132" s="1354"/>
      <c r="Z6132" s="1060"/>
    </row>
    <row r="6133" spans="25:26">
      <c r="Y6133" s="1354"/>
      <c r="Z6133" s="1060"/>
    </row>
    <row r="6134" spans="25:26">
      <c r="Y6134" s="1354"/>
      <c r="Z6134" s="1060"/>
    </row>
    <row r="6135" spans="25:26">
      <c r="Y6135" s="1354"/>
      <c r="Z6135" s="1060"/>
    </row>
    <row r="6136" spans="25:26">
      <c r="Y6136" s="1354"/>
      <c r="Z6136" s="1060"/>
    </row>
    <row r="6137" spans="25:26">
      <c r="Y6137" s="1354"/>
      <c r="Z6137" s="1060"/>
    </row>
    <row r="6138" spans="25:26">
      <c r="Y6138" s="1354"/>
      <c r="Z6138" s="1060"/>
    </row>
    <row r="6139" spans="25:26">
      <c r="Y6139" s="1354"/>
      <c r="Z6139" s="1060"/>
    </row>
    <row r="6140" spans="25:26">
      <c r="Y6140" s="1354"/>
      <c r="Z6140" s="1060"/>
    </row>
    <row r="6141" spans="25:26">
      <c r="Y6141" s="1354"/>
      <c r="Z6141" s="1060"/>
    </row>
    <row r="6142" spans="25:26">
      <c r="Y6142" s="1354"/>
      <c r="Z6142" s="1060"/>
    </row>
    <row r="6143" spans="25:26">
      <c r="Y6143" s="1354"/>
      <c r="Z6143" s="1060"/>
    </row>
    <row r="6144" spans="25:26">
      <c r="Y6144" s="1354"/>
      <c r="Z6144" s="1060"/>
    </row>
    <row r="6145" spans="25:26">
      <c r="Y6145" s="1354"/>
      <c r="Z6145" s="1060"/>
    </row>
    <row r="6146" spans="25:26">
      <c r="Y6146" s="1354"/>
      <c r="Z6146" s="1060"/>
    </row>
    <row r="6147" spans="25:26">
      <c r="Y6147" s="1354"/>
      <c r="Z6147" s="1060"/>
    </row>
    <row r="6148" spans="25:26">
      <c r="Y6148" s="1354"/>
      <c r="Z6148" s="1060"/>
    </row>
    <row r="6149" spans="25:26">
      <c r="Y6149" s="1354"/>
      <c r="Z6149" s="1060"/>
    </row>
    <row r="6150" spans="25:26">
      <c r="Y6150" s="1354"/>
      <c r="Z6150" s="1060"/>
    </row>
    <row r="6151" spans="25:26">
      <c r="Y6151" s="1354"/>
      <c r="Z6151" s="1060"/>
    </row>
    <row r="6152" spans="25:26">
      <c r="Y6152" s="1354"/>
      <c r="Z6152" s="1060"/>
    </row>
    <row r="6153" spans="25:26">
      <c r="Y6153" s="1354"/>
      <c r="Z6153" s="1060"/>
    </row>
    <row r="6154" spans="25:26">
      <c r="Y6154" s="1354"/>
      <c r="Z6154" s="1060"/>
    </row>
    <row r="6155" spans="25:26">
      <c r="Y6155" s="1354"/>
      <c r="Z6155" s="1060"/>
    </row>
    <row r="6156" spans="25:26">
      <c r="Y6156" s="1354"/>
      <c r="Z6156" s="1060"/>
    </row>
    <row r="6157" spans="25:26">
      <c r="Y6157" s="1354"/>
      <c r="Z6157" s="1060"/>
    </row>
    <row r="6158" spans="25:26">
      <c r="Y6158" s="1354"/>
      <c r="Z6158" s="1060"/>
    </row>
    <row r="6159" spans="25:26">
      <c r="Y6159" s="1354"/>
      <c r="Z6159" s="1060"/>
    </row>
    <row r="6160" spans="25:26">
      <c r="Y6160" s="1354"/>
      <c r="Z6160" s="1060"/>
    </row>
    <row r="6161" spans="25:26">
      <c r="Y6161" s="1354"/>
      <c r="Z6161" s="1060"/>
    </row>
    <row r="6162" spans="25:26">
      <c r="Y6162" s="1354"/>
      <c r="Z6162" s="1060"/>
    </row>
    <row r="6163" spans="25:26">
      <c r="Y6163" s="1354"/>
      <c r="Z6163" s="1060"/>
    </row>
    <row r="6164" spans="25:26">
      <c r="Y6164" s="1354"/>
      <c r="Z6164" s="1060"/>
    </row>
    <row r="6165" spans="25:26">
      <c r="Y6165" s="1354"/>
      <c r="Z6165" s="1060"/>
    </row>
    <row r="6166" spans="25:26">
      <c r="Y6166" s="1354"/>
      <c r="Z6166" s="1060"/>
    </row>
    <row r="6167" spans="25:26">
      <c r="Y6167" s="1354"/>
      <c r="Z6167" s="1060"/>
    </row>
    <row r="6168" spans="25:26">
      <c r="Y6168" s="1354"/>
      <c r="Z6168" s="1060"/>
    </row>
    <row r="6169" spans="25:26">
      <c r="Y6169" s="1354"/>
      <c r="Z6169" s="1060"/>
    </row>
    <row r="6170" spans="25:26">
      <c r="Y6170" s="1354"/>
      <c r="Z6170" s="1060"/>
    </row>
    <row r="6171" spans="25:26">
      <c r="Y6171" s="1354"/>
      <c r="Z6171" s="1060"/>
    </row>
    <row r="6172" spans="25:26">
      <c r="Y6172" s="1354"/>
      <c r="Z6172" s="1060"/>
    </row>
    <row r="6173" spans="25:26">
      <c r="Y6173" s="1354"/>
      <c r="Z6173" s="1060"/>
    </row>
    <row r="6174" spans="25:26">
      <c r="Y6174" s="1354"/>
      <c r="Z6174" s="1060"/>
    </row>
    <row r="6175" spans="25:26">
      <c r="Y6175" s="1354"/>
      <c r="Z6175" s="1060"/>
    </row>
    <row r="6176" spans="25:26">
      <c r="Y6176" s="1354"/>
      <c r="Z6176" s="1060"/>
    </row>
    <row r="6177" spans="25:26">
      <c r="Y6177" s="1354"/>
      <c r="Z6177" s="1060"/>
    </row>
    <row r="6178" spans="25:26">
      <c r="Y6178" s="1354"/>
      <c r="Z6178" s="1060"/>
    </row>
    <row r="6179" spans="25:26">
      <c r="Y6179" s="1354"/>
      <c r="Z6179" s="1060"/>
    </row>
    <row r="6180" spans="25:26">
      <c r="Y6180" s="1354"/>
      <c r="Z6180" s="1060"/>
    </row>
    <row r="6181" spans="25:26">
      <c r="Y6181" s="1354"/>
      <c r="Z6181" s="1060"/>
    </row>
    <row r="6182" spans="25:26">
      <c r="Y6182" s="1354"/>
      <c r="Z6182" s="1060"/>
    </row>
    <row r="6183" spans="25:26">
      <c r="Y6183" s="1354"/>
      <c r="Z6183" s="1060"/>
    </row>
    <row r="6184" spans="25:26">
      <c r="Y6184" s="1354"/>
      <c r="Z6184" s="1060"/>
    </row>
    <row r="6185" spans="25:26">
      <c r="Y6185" s="1354"/>
      <c r="Z6185" s="1060"/>
    </row>
    <row r="6186" spans="25:26">
      <c r="Y6186" s="1354"/>
      <c r="Z6186" s="1060"/>
    </row>
    <row r="6187" spans="25:26">
      <c r="Y6187" s="1354"/>
      <c r="Z6187" s="1060"/>
    </row>
    <row r="6188" spans="25:26">
      <c r="Y6188" s="1354"/>
      <c r="Z6188" s="1060"/>
    </row>
    <row r="6189" spans="25:26">
      <c r="Y6189" s="1354"/>
      <c r="Z6189" s="1060"/>
    </row>
    <row r="6190" spans="25:26">
      <c r="Y6190" s="1354"/>
      <c r="Z6190" s="1060"/>
    </row>
    <row r="6191" spans="25:26">
      <c r="Y6191" s="1354"/>
      <c r="Z6191" s="1060"/>
    </row>
    <row r="6192" spans="25:26">
      <c r="Y6192" s="1354"/>
      <c r="Z6192" s="1060"/>
    </row>
    <row r="6193" spans="25:26">
      <c r="Y6193" s="1354"/>
      <c r="Z6193" s="1060"/>
    </row>
    <row r="6194" spans="25:26">
      <c r="Y6194" s="1354"/>
      <c r="Z6194" s="1060"/>
    </row>
    <row r="6195" spans="25:26">
      <c r="Y6195" s="1354"/>
      <c r="Z6195" s="1060"/>
    </row>
    <row r="6196" spans="25:26">
      <c r="Y6196" s="1354"/>
      <c r="Z6196" s="1060"/>
    </row>
    <row r="6197" spans="25:26">
      <c r="Y6197" s="1354"/>
      <c r="Z6197" s="1060"/>
    </row>
    <row r="6198" spans="25:26">
      <c r="Y6198" s="1354"/>
      <c r="Z6198" s="1060"/>
    </row>
    <row r="6199" spans="25:26">
      <c r="Y6199" s="1354"/>
      <c r="Z6199" s="1060"/>
    </row>
    <row r="6200" spans="25:26">
      <c r="Y6200" s="1354"/>
      <c r="Z6200" s="1060"/>
    </row>
    <row r="6201" spans="25:26">
      <c r="Y6201" s="1354"/>
      <c r="Z6201" s="1060"/>
    </row>
    <row r="6202" spans="25:26">
      <c r="Y6202" s="1354"/>
      <c r="Z6202" s="1060"/>
    </row>
    <row r="6203" spans="25:26">
      <c r="Y6203" s="1354"/>
      <c r="Z6203" s="1060"/>
    </row>
    <row r="6204" spans="25:26">
      <c r="Y6204" s="1354"/>
      <c r="Z6204" s="1060"/>
    </row>
    <row r="6205" spans="25:26">
      <c r="Y6205" s="1354"/>
      <c r="Z6205" s="1060"/>
    </row>
    <row r="6206" spans="25:26">
      <c r="Y6206" s="1354"/>
      <c r="Z6206" s="1060"/>
    </row>
    <row r="6207" spans="25:26">
      <c r="Y6207" s="1354"/>
      <c r="Z6207" s="1060"/>
    </row>
    <row r="6208" spans="25:26">
      <c r="Y6208" s="1354"/>
      <c r="Z6208" s="1060"/>
    </row>
    <row r="6209" spans="25:26">
      <c r="Y6209" s="1354"/>
      <c r="Z6209" s="1060"/>
    </row>
    <row r="6210" spans="25:26">
      <c r="Y6210" s="1354"/>
      <c r="Z6210" s="1060"/>
    </row>
    <row r="6211" spans="25:26">
      <c r="Y6211" s="1354"/>
      <c r="Z6211" s="1060"/>
    </row>
    <row r="6212" spans="25:26">
      <c r="Y6212" s="1354"/>
      <c r="Z6212" s="1060"/>
    </row>
    <row r="6213" spans="25:26">
      <c r="Y6213" s="1354"/>
      <c r="Z6213" s="1060"/>
    </row>
    <row r="6214" spans="25:26">
      <c r="Y6214" s="1354"/>
      <c r="Z6214" s="1060"/>
    </row>
    <row r="6215" spans="25:26">
      <c r="Y6215" s="1354"/>
      <c r="Z6215" s="1060"/>
    </row>
    <row r="6216" spans="25:26">
      <c r="Y6216" s="1354"/>
      <c r="Z6216" s="1060"/>
    </row>
    <row r="6217" spans="25:26">
      <c r="Y6217" s="1354"/>
      <c r="Z6217" s="1060"/>
    </row>
    <row r="6218" spans="25:26">
      <c r="Y6218" s="1354"/>
      <c r="Z6218" s="1060"/>
    </row>
    <row r="6219" spans="25:26">
      <c r="Y6219" s="1354"/>
      <c r="Z6219" s="1060"/>
    </row>
    <row r="6220" spans="25:26">
      <c r="Y6220" s="1354"/>
      <c r="Z6220" s="1060"/>
    </row>
    <row r="6221" spans="25:26">
      <c r="Y6221" s="1354"/>
      <c r="Z6221" s="1060"/>
    </row>
    <row r="6222" spans="25:26">
      <c r="Y6222" s="1354"/>
      <c r="Z6222" s="1060"/>
    </row>
    <row r="6223" spans="25:26">
      <c r="Y6223" s="1354"/>
      <c r="Z6223" s="1060"/>
    </row>
    <row r="6224" spans="25:26">
      <c r="Y6224" s="1354"/>
      <c r="Z6224" s="1060"/>
    </row>
    <row r="6225" spans="25:26">
      <c r="Y6225" s="1354"/>
      <c r="Z6225" s="1060"/>
    </row>
    <row r="6226" spans="25:26">
      <c r="Y6226" s="1354"/>
      <c r="Z6226" s="1060"/>
    </row>
    <row r="6227" spans="25:26">
      <c r="Y6227" s="1354"/>
      <c r="Z6227" s="1060"/>
    </row>
    <row r="6228" spans="25:26">
      <c r="Y6228" s="1354"/>
      <c r="Z6228" s="1060"/>
    </row>
    <row r="6229" spans="25:26">
      <c r="Y6229" s="1354"/>
      <c r="Z6229" s="1060"/>
    </row>
    <row r="6230" spans="25:26">
      <c r="Y6230" s="1354"/>
      <c r="Z6230" s="1060"/>
    </row>
    <row r="6231" spans="25:26">
      <c r="Y6231" s="1354"/>
      <c r="Z6231" s="1060"/>
    </row>
    <row r="6232" spans="25:26">
      <c r="Y6232" s="1354"/>
      <c r="Z6232" s="1060"/>
    </row>
    <row r="6233" spans="25:26">
      <c r="Y6233" s="1354"/>
      <c r="Z6233" s="1060"/>
    </row>
    <row r="6234" spans="25:26">
      <c r="Y6234" s="1354"/>
      <c r="Z6234" s="1060"/>
    </row>
    <row r="6235" spans="25:26">
      <c r="Y6235" s="1354"/>
      <c r="Z6235" s="1060"/>
    </row>
    <row r="6236" spans="25:26">
      <c r="Y6236" s="1354"/>
      <c r="Z6236" s="1060"/>
    </row>
    <row r="6237" spans="25:26">
      <c r="Y6237" s="1354"/>
      <c r="Z6237" s="1060"/>
    </row>
    <row r="6238" spans="25:26">
      <c r="Y6238" s="1354"/>
      <c r="Z6238" s="1060"/>
    </row>
    <row r="6239" spans="25:26">
      <c r="Y6239" s="1354"/>
      <c r="Z6239" s="1060"/>
    </row>
    <row r="6240" spans="25:26">
      <c r="Y6240" s="1354"/>
      <c r="Z6240" s="1060"/>
    </row>
    <row r="6241" spans="25:26">
      <c r="Y6241" s="1354"/>
      <c r="Z6241" s="1060"/>
    </row>
    <row r="6242" spans="25:26">
      <c r="Y6242" s="1354"/>
      <c r="Z6242" s="1060"/>
    </row>
    <row r="6243" spans="25:26">
      <c r="Y6243" s="1354"/>
      <c r="Z6243" s="1060"/>
    </row>
    <row r="6244" spans="25:26">
      <c r="Y6244" s="1354"/>
      <c r="Z6244" s="1060"/>
    </row>
    <row r="6245" spans="25:26">
      <c r="Y6245" s="1354"/>
      <c r="Z6245" s="1060"/>
    </row>
    <row r="6246" spans="25:26">
      <c r="Y6246" s="1354"/>
      <c r="Z6246" s="1060"/>
    </row>
    <row r="6247" spans="25:26">
      <c r="Y6247" s="1354"/>
      <c r="Z6247" s="1060"/>
    </row>
    <row r="6248" spans="25:26">
      <c r="Y6248" s="1354"/>
      <c r="Z6248" s="1060"/>
    </row>
    <row r="6249" spans="25:26">
      <c r="Y6249" s="1354"/>
      <c r="Z6249" s="1060"/>
    </row>
    <row r="6250" spans="25:26">
      <c r="Y6250" s="1354"/>
      <c r="Z6250" s="1060"/>
    </row>
    <row r="6251" spans="25:26">
      <c r="Y6251" s="1354"/>
      <c r="Z6251" s="1060"/>
    </row>
    <row r="6252" spans="25:26">
      <c r="Y6252" s="1354"/>
      <c r="Z6252" s="1060"/>
    </row>
    <row r="6253" spans="25:26">
      <c r="Y6253" s="1354"/>
      <c r="Z6253" s="1060"/>
    </row>
    <row r="6254" spans="25:26">
      <c r="Y6254" s="1354"/>
      <c r="Z6254" s="1060"/>
    </row>
    <row r="6255" spans="25:26">
      <c r="Y6255" s="1354"/>
      <c r="Z6255" s="1060"/>
    </row>
    <row r="6256" spans="25:26">
      <c r="Y6256" s="1354"/>
      <c r="Z6256" s="1060"/>
    </row>
    <row r="6257" spans="25:26">
      <c r="Y6257" s="1354"/>
      <c r="Z6257" s="1060"/>
    </row>
    <row r="6258" spans="25:26">
      <c r="Y6258" s="1354"/>
      <c r="Z6258" s="1060"/>
    </row>
    <row r="6259" spans="25:26">
      <c r="Y6259" s="1354"/>
      <c r="Z6259" s="1060"/>
    </row>
    <row r="6260" spans="25:26">
      <c r="Y6260" s="1354"/>
      <c r="Z6260" s="1060"/>
    </row>
    <row r="6261" spans="25:26">
      <c r="Y6261" s="1354"/>
      <c r="Z6261" s="1060"/>
    </row>
    <row r="6262" spans="25:26">
      <c r="Y6262" s="1354"/>
      <c r="Z6262" s="1060"/>
    </row>
    <row r="6263" spans="25:26">
      <c r="Y6263" s="1354"/>
      <c r="Z6263" s="1060"/>
    </row>
    <row r="6264" spans="25:26">
      <c r="Y6264" s="1354"/>
      <c r="Z6264" s="1060"/>
    </row>
    <row r="6265" spans="25:26">
      <c r="Y6265" s="1354"/>
      <c r="Z6265" s="1060"/>
    </row>
    <row r="6266" spans="25:26">
      <c r="Y6266" s="1354"/>
      <c r="Z6266" s="1060"/>
    </row>
    <row r="6267" spans="25:26">
      <c r="Y6267" s="1354"/>
      <c r="Z6267" s="1060"/>
    </row>
    <row r="6268" spans="25:26">
      <c r="Y6268" s="1354"/>
      <c r="Z6268" s="1060"/>
    </row>
    <row r="6269" spans="25:26">
      <c r="Y6269" s="1354"/>
      <c r="Z6269" s="1060"/>
    </row>
    <row r="6270" spans="25:26">
      <c r="Y6270" s="1354"/>
      <c r="Z6270" s="1060"/>
    </row>
    <row r="6271" spans="25:26">
      <c r="Y6271" s="1354"/>
      <c r="Z6271" s="1060"/>
    </row>
    <row r="6272" spans="25:26">
      <c r="Y6272" s="1354"/>
      <c r="Z6272" s="1060"/>
    </row>
    <row r="6273" spans="25:26">
      <c r="Y6273" s="1354"/>
      <c r="Z6273" s="1060"/>
    </row>
    <row r="6274" spans="25:26">
      <c r="Y6274" s="1354"/>
      <c r="Z6274" s="1060"/>
    </row>
    <row r="6275" spans="25:26">
      <c r="Y6275" s="1354"/>
      <c r="Z6275" s="1060"/>
    </row>
    <row r="6276" spans="25:26">
      <c r="Y6276" s="1354"/>
      <c r="Z6276" s="1060"/>
    </row>
    <row r="6277" spans="25:26">
      <c r="Y6277" s="1354"/>
      <c r="Z6277" s="1060"/>
    </row>
    <row r="6278" spans="25:26">
      <c r="Y6278" s="1354"/>
      <c r="Z6278" s="1060"/>
    </row>
    <row r="6279" spans="25:26">
      <c r="Y6279" s="1354"/>
      <c r="Z6279" s="1060"/>
    </row>
    <row r="6280" spans="25:26">
      <c r="Y6280" s="1354"/>
      <c r="Z6280" s="1060"/>
    </row>
    <row r="6281" spans="25:26">
      <c r="Y6281" s="1354"/>
      <c r="Z6281" s="1060"/>
    </row>
    <row r="6282" spans="25:26">
      <c r="Y6282" s="1354"/>
      <c r="Z6282" s="1060"/>
    </row>
    <row r="6283" spans="25:26">
      <c r="Y6283" s="1354"/>
      <c r="Z6283" s="1060"/>
    </row>
    <row r="6284" spans="25:26">
      <c r="Y6284" s="1354"/>
      <c r="Z6284" s="1060"/>
    </row>
    <row r="6285" spans="25:26">
      <c r="Y6285" s="1354"/>
      <c r="Z6285" s="1060"/>
    </row>
    <row r="6286" spans="25:26">
      <c r="Y6286" s="1354"/>
      <c r="Z6286" s="1060"/>
    </row>
    <row r="6287" spans="25:26">
      <c r="Y6287" s="1354"/>
      <c r="Z6287" s="1060"/>
    </row>
    <row r="6288" spans="25:26">
      <c r="Y6288" s="1354"/>
      <c r="Z6288" s="1060"/>
    </row>
    <row r="6289" spans="25:26">
      <c r="Y6289" s="1354"/>
      <c r="Z6289" s="1060"/>
    </row>
    <row r="6290" spans="25:26">
      <c r="Y6290" s="1354"/>
      <c r="Z6290" s="1060"/>
    </row>
    <row r="6291" spans="25:26">
      <c r="Y6291" s="1354"/>
      <c r="Z6291" s="1060"/>
    </row>
    <row r="6292" spans="25:26">
      <c r="Y6292" s="1354"/>
      <c r="Z6292" s="1060"/>
    </row>
    <row r="6293" spans="25:26">
      <c r="Y6293" s="1354"/>
      <c r="Z6293" s="1060"/>
    </row>
    <row r="6294" spans="25:26">
      <c r="Y6294" s="1354"/>
      <c r="Z6294" s="1060"/>
    </row>
    <row r="6295" spans="25:26">
      <c r="Y6295" s="1354"/>
      <c r="Z6295" s="1060"/>
    </row>
    <row r="6296" spans="25:26">
      <c r="Y6296" s="1354"/>
      <c r="Z6296" s="1060"/>
    </row>
    <row r="6297" spans="25:26">
      <c r="Y6297" s="1354"/>
      <c r="Z6297" s="1060"/>
    </row>
    <row r="6298" spans="25:26">
      <c r="Y6298" s="1354"/>
      <c r="Z6298" s="1060"/>
    </row>
    <row r="6299" spans="25:26">
      <c r="Y6299" s="1354"/>
      <c r="Z6299" s="1060"/>
    </row>
    <row r="6300" spans="25:26">
      <c r="Y6300" s="1354"/>
      <c r="Z6300" s="1060"/>
    </row>
    <row r="6301" spans="25:26">
      <c r="Y6301" s="1354"/>
      <c r="Z6301" s="1060"/>
    </row>
    <row r="6302" spans="25:26">
      <c r="Y6302" s="1354"/>
      <c r="Z6302" s="1060"/>
    </row>
    <row r="6303" spans="25:26">
      <c r="Y6303" s="1354"/>
      <c r="Z6303" s="1060"/>
    </row>
    <row r="6304" spans="25:26">
      <c r="Y6304" s="1354"/>
      <c r="Z6304" s="1060"/>
    </row>
    <row r="6305" spans="25:26">
      <c r="Y6305" s="1354"/>
      <c r="Z6305" s="1060"/>
    </row>
    <row r="6306" spans="25:26">
      <c r="Y6306" s="1354"/>
      <c r="Z6306" s="1060"/>
    </row>
    <row r="6307" spans="25:26">
      <c r="Y6307" s="1354"/>
      <c r="Z6307" s="1060"/>
    </row>
    <row r="6308" spans="25:26">
      <c r="Y6308" s="1354"/>
      <c r="Z6308" s="1060"/>
    </row>
    <row r="6309" spans="25:26">
      <c r="Y6309" s="1354"/>
      <c r="Z6309" s="1060"/>
    </row>
    <row r="6310" spans="25:26">
      <c r="Y6310" s="1354"/>
      <c r="Z6310" s="1060"/>
    </row>
    <row r="6311" spans="25:26">
      <c r="Y6311" s="1354"/>
      <c r="Z6311" s="1060"/>
    </row>
    <row r="6312" spans="25:26">
      <c r="Y6312" s="1354"/>
      <c r="Z6312" s="1060"/>
    </row>
    <row r="6313" spans="25:26">
      <c r="Y6313" s="1354"/>
      <c r="Z6313" s="1060"/>
    </row>
    <row r="6314" spans="25:26">
      <c r="Y6314" s="1354"/>
      <c r="Z6314" s="1060"/>
    </row>
    <row r="6315" spans="25:26">
      <c r="Y6315" s="1354"/>
      <c r="Z6315" s="1060"/>
    </row>
    <row r="6316" spans="25:26">
      <c r="Y6316" s="1354"/>
      <c r="Z6316" s="1060"/>
    </row>
    <row r="6317" spans="25:26">
      <c r="Y6317" s="1354"/>
      <c r="Z6317" s="1060"/>
    </row>
    <row r="6318" spans="25:26">
      <c r="Y6318" s="1354"/>
      <c r="Z6318" s="1060"/>
    </row>
    <row r="6319" spans="25:26">
      <c r="Y6319" s="1354"/>
      <c r="Z6319" s="1060"/>
    </row>
    <row r="6320" spans="25:26">
      <c r="Y6320" s="1354"/>
      <c r="Z6320" s="1060"/>
    </row>
    <row r="6321" spans="25:26">
      <c r="Y6321" s="1354"/>
      <c r="Z6321" s="1060"/>
    </row>
    <row r="6322" spans="25:26">
      <c r="Y6322" s="1354"/>
      <c r="Z6322" s="1060"/>
    </row>
    <row r="6323" spans="25:26">
      <c r="Y6323" s="1354"/>
      <c r="Z6323" s="1060"/>
    </row>
    <row r="6324" spans="25:26">
      <c r="Y6324" s="1354"/>
      <c r="Z6324" s="1060"/>
    </row>
    <row r="6325" spans="25:26">
      <c r="Y6325" s="1354"/>
      <c r="Z6325" s="1060"/>
    </row>
    <row r="6326" spans="25:26">
      <c r="Y6326" s="1354"/>
      <c r="Z6326" s="1060"/>
    </row>
    <row r="6327" spans="25:26">
      <c r="Y6327" s="1354"/>
      <c r="Z6327" s="1060"/>
    </row>
    <row r="6328" spans="25:26">
      <c r="Y6328" s="1354"/>
      <c r="Z6328" s="1060"/>
    </row>
    <row r="6329" spans="25:26">
      <c r="Y6329" s="1354"/>
      <c r="Z6329" s="1060"/>
    </row>
    <row r="6330" spans="25:26">
      <c r="Y6330" s="1354"/>
      <c r="Z6330" s="1060"/>
    </row>
    <row r="6331" spans="25:26">
      <c r="Y6331" s="1354"/>
      <c r="Z6331" s="1060"/>
    </row>
    <row r="6332" spans="25:26">
      <c r="Y6332" s="1354"/>
      <c r="Z6332" s="1060"/>
    </row>
    <row r="6333" spans="25:26">
      <c r="Y6333" s="1354"/>
      <c r="Z6333" s="1060"/>
    </row>
    <row r="6334" spans="25:26">
      <c r="Y6334" s="1354"/>
      <c r="Z6334" s="1060"/>
    </row>
    <row r="6335" spans="25:26">
      <c r="Y6335" s="1354"/>
      <c r="Z6335" s="1060"/>
    </row>
    <row r="6336" spans="25:26">
      <c r="Y6336" s="1354"/>
      <c r="Z6336" s="1060"/>
    </row>
    <row r="6337" spans="25:26">
      <c r="Y6337" s="1354"/>
      <c r="Z6337" s="1060"/>
    </row>
    <row r="6338" spans="25:26">
      <c r="Y6338" s="1354"/>
      <c r="Z6338" s="1060"/>
    </row>
    <row r="6339" spans="25:26">
      <c r="Y6339" s="1354"/>
      <c r="Z6339" s="1060"/>
    </row>
    <row r="6340" spans="25:26">
      <c r="Y6340" s="1354"/>
      <c r="Z6340" s="1060"/>
    </row>
    <row r="6341" spans="25:26">
      <c r="Y6341" s="1354"/>
      <c r="Z6341" s="1060"/>
    </row>
    <row r="6342" spans="25:26">
      <c r="Y6342" s="1354"/>
      <c r="Z6342" s="1060"/>
    </row>
    <row r="6343" spans="25:26">
      <c r="Y6343" s="1354"/>
      <c r="Z6343" s="1060"/>
    </row>
    <row r="6344" spans="25:26">
      <c r="Y6344" s="1354"/>
      <c r="Z6344" s="1060"/>
    </row>
    <row r="6345" spans="25:26">
      <c r="Y6345" s="1354"/>
      <c r="Z6345" s="1060"/>
    </row>
    <row r="6346" spans="25:26">
      <c r="Y6346" s="1354"/>
      <c r="Z6346" s="1060"/>
    </row>
    <row r="6347" spans="25:26">
      <c r="Y6347" s="1354"/>
      <c r="Z6347" s="1060"/>
    </row>
    <row r="6348" spans="25:26">
      <c r="Y6348" s="1354"/>
      <c r="Z6348" s="1060"/>
    </row>
    <row r="6349" spans="25:26">
      <c r="Y6349" s="1354"/>
      <c r="Z6349" s="1060"/>
    </row>
    <row r="6350" spans="25:26">
      <c r="Y6350" s="1354"/>
      <c r="Z6350" s="1060"/>
    </row>
    <row r="6351" spans="25:26">
      <c r="Y6351" s="1354"/>
      <c r="Z6351" s="1060"/>
    </row>
    <row r="6352" spans="25:26">
      <c r="Y6352" s="1354"/>
      <c r="Z6352" s="1060"/>
    </row>
    <row r="6353" spans="25:26">
      <c r="Y6353" s="1354"/>
      <c r="Z6353" s="1060"/>
    </row>
    <row r="6354" spans="25:26">
      <c r="Y6354" s="1354"/>
      <c r="Z6354" s="1060"/>
    </row>
    <row r="6355" spans="25:26">
      <c r="Y6355" s="1354"/>
      <c r="Z6355" s="1060"/>
    </row>
    <row r="6356" spans="25:26">
      <c r="Y6356" s="1354"/>
      <c r="Z6356" s="1060"/>
    </row>
    <row r="6357" spans="25:26">
      <c r="Y6357" s="1354"/>
      <c r="Z6357" s="1060"/>
    </row>
    <row r="6358" spans="25:26">
      <c r="Y6358" s="1354"/>
      <c r="Z6358" s="1060"/>
    </row>
    <row r="6359" spans="25:26">
      <c r="Y6359" s="1354"/>
      <c r="Z6359" s="1060"/>
    </row>
    <row r="6360" spans="25:26">
      <c r="Y6360" s="1354"/>
      <c r="Z6360" s="1060"/>
    </row>
    <row r="6361" spans="25:26">
      <c r="Y6361" s="1354"/>
      <c r="Z6361" s="1060"/>
    </row>
    <row r="6362" spans="25:26">
      <c r="Y6362" s="1354"/>
      <c r="Z6362" s="1060"/>
    </row>
    <row r="6363" spans="25:26">
      <c r="Y6363" s="1354"/>
      <c r="Z6363" s="1060"/>
    </row>
    <row r="6364" spans="25:26">
      <c r="Y6364" s="1354"/>
      <c r="Z6364" s="1060"/>
    </row>
    <row r="6365" spans="25:26">
      <c r="Y6365" s="1354"/>
      <c r="Z6365" s="1060"/>
    </row>
    <row r="6366" spans="25:26">
      <c r="Y6366" s="1354"/>
      <c r="Z6366" s="1060"/>
    </row>
    <row r="6367" spans="25:26">
      <c r="Y6367" s="1354"/>
      <c r="Z6367" s="1060"/>
    </row>
    <row r="6368" spans="25:26">
      <c r="Y6368" s="1354"/>
      <c r="Z6368" s="1060"/>
    </row>
    <row r="6369" spans="25:26">
      <c r="Y6369" s="1354"/>
      <c r="Z6369" s="1060"/>
    </row>
    <row r="6370" spans="25:26">
      <c r="Y6370" s="1354"/>
      <c r="Z6370" s="1060"/>
    </row>
    <row r="6371" spans="25:26">
      <c r="Y6371" s="1354"/>
      <c r="Z6371" s="1060"/>
    </row>
    <row r="6372" spans="25:26">
      <c r="Y6372" s="1354"/>
      <c r="Z6372" s="1060"/>
    </row>
    <row r="6373" spans="25:26">
      <c r="Y6373" s="1354"/>
      <c r="Z6373" s="1060"/>
    </row>
    <row r="6374" spans="25:26">
      <c r="Y6374" s="1354"/>
      <c r="Z6374" s="1060"/>
    </row>
    <row r="6375" spans="25:26">
      <c r="Y6375" s="1354"/>
      <c r="Z6375" s="1060"/>
    </row>
    <row r="6376" spans="25:26">
      <c r="Y6376" s="1354"/>
      <c r="Z6376" s="1060"/>
    </row>
    <row r="6377" spans="25:26">
      <c r="Y6377" s="1354"/>
      <c r="Z6377" s="1060"/>
    </row>
    <row r="6378" spans="25:26">
      <c r="Y6378" s="1354"/>
      <c r="Z6378" s="1060"/>
    </row>
    <row r="6379" spans="25:26">
      <c r="Y6379" s="1354"/>
      <c r="Z6379" s="1060"/>
    </row>
    <row r="6380" spans="25:26">
      <c r="Y6380" s="1354"/>
      <c r="Z6380" s="1060"/>
    </row>
    <row r="6381" spans="25:26">
      <c r="Y6381" s="1354"/>
      <c r="Z6381" s="1060"/>
    </row>
    <row r="6382" spans="25:26">
      <c r="Y6382" s="1354"/>
      <c r="Z6382" s="1060"/>
    </row>
    <row r="6383" spans="25:26">
      <c r="Y6383" s="1354"/>
      <c r="Z6383" s="1060"/>
    </row>
    <row r="6384" spans="25:26">
      <c r="Y6384" s="1354"/>
      <c r="Z6384" s="1060"/>
    </row>
    <row r="6385" spans="25:26">
      <c r="Y6385" s="1354"/>
      <c r="Z6385" s="1060"/>
    </row>
    <row r="6386" spans="25:26">
      <c r="Y6386" s="1354"/>
      <c r="Z6386" s="1060"/>
    </row>
    <row r="6387" spans="25:26">
      <c r="Y6387" s="1354"/>
      <c r="Z6387" s="1060"/>
    </row>
    <row r="6388" spans="25:26">
      <c r="Y6388" s="1354"/>
      <c r="Z6388" s="1060"/>
    </row>
    <row r="6389" spans="25:26">
      <c r="Y6389" s="1354"/>
      <c r="Z6389" s="1060"/>
    </row>
    <row r="6390" spans="25:26">
      <c r="Y6390" s="1354"/>
      <c r="Z6390" s="1060"/>
    </row>
    <row r="6391" spans="25:26">
      <c r="Y6391" s="1354"/>
      <c r="Z6391" s="1060"/>
    </row>
    <row r="6392" spans="25:26">
      <c r="Y6392" s="1354"/>
      <c r="Z6392" s="1060"/>
    </row>
    <row r="6393" spans="25:26">
      <c r="Y6393" s="1354"/>
      <c r="Z6393" s="1060"/>
    </row>
    <row r="6394" spans="25:26">
      <c r="Y6394" s="1354"/>
      <c r="Z6394" s="1060"/>
    </row>
    <row r="6395" spans="25:26">
      <c r="Y6395" s="1354"/>
      <c r="Z6395" s="1060"/>
    </row>
    <row r="6396" spans="25:26">
      <c r="Y6396" s="1354"/>
      <c r="Z6396" s="1060"/>
    </row>
    <row r="6397" spans="25:26">
      <c r="Y6397" s="1354"/>
      <c r="Z6397" s="1060"/>
    </row>
    <row r="6398" spans="25:26">
      <c r="Y6398" s="1354"/>
      <c r="Z6398" s="1060"/>
    </row>
    <row r="6399" spans="25:26">
      <c r="Y6399" s="1354"/>
      <c r="Z6399" s="1060"/>
    </row>
    <row r="6400" spans="25:26">
      <c r="Y6400" s="1354"/>
      <c r="Z6400" s="1060"/>
    </row>
    <row r="6401" spans="25:26">
      <c r="Y6401" s="1354"/>
      <c r="Z6401" s="1060"/>
    </row>
    <row r="6402" spans="25:26">
      <c r="Y6402" s="1354"/>
      <c r="Z6402" s="1060"/>
    </row>
    <row r="6403" spans="25:26">
      <c r="Y6403" s="1354"/>
      <c r="Z6403" s="1060"/>
    </row>
    <row r="6404" spans="25:26">
      <c r="Y6404" s="1354"/>
      <c r="Z6404" s="1060"/>
    </row>
    <row r="6405" spans="25:26">
      <c r="Y6405" s="1354"/>
      <c r="Z6405" s="1060"/>
    </row>
    <row r="6406" spans="25:26">
      <c r="Y6406" s="1354"/>
      <c r="Z6406" s="1060"/>
    </row>
    <row r="6407" spans="25:26">
      <c r="Y6407" s="1354"/>
      <c r="Z6407" s="1060"/>
    </row>
    <row r="6408" spans="25:26">
      <c r="Y6408" s="1354"/>
      <c r="Z6408" s="1060"/>
    </row>
    <row r="6409" spans="25:26">
      <c r="Y6409" s="1354"/>
      <c r="Z6409" s="1060"/>
    </row>
    <row r="6410" spans="25:26">
      <c r="Y6410" s="1354"/>
      <c r="Z6410" s="1060"/>
    </row>
    <row r="6411" spans="25:26">
      <c r="Y6411" s="1354"/>
      <c r="Z6411" s="1060"/>
    </row>
    <row r="6412" spans="25:26">
      <c r="Y6412" s="1354"/>
      <c r="Z6412" s="1060"/>
    </row>
    <row r="6413" spans="25:26">
      <c r="Y6413" s="1354"/>
      <c r="Z6413" s="1060"/>
    </row>
    <row r="6414" spans="25:26">
      <c r="Y6414" s="1354"/>
      <c r="Z6414" s="1060"/>
    </row>
    <row r="6415" spans="25:26">
      <c r="Y6415" s="1354"/>
      <c r="Z6415" s="1060"/>
    </row>
    <row r="6416" spans="25:26">
      <c r="Y6416" s="1354"/>
      <c r="Z6416" s="1060"/>
    </row>
    <row r="6417" spans="25:26">
      <c r="Y6417" s="1354"/>
      <c r="Z6417" s="1060"/>
    </row>
    <row r="6418" spans="25:26">
      <c r="Y6418" s="1354"/>
      <c r="Z6418" s="1060"/>
    </row>
    <row r="6419" spans="25:26">
      <c r="Y6419" s="1354"/>
      <c r="Z6419" s="1060"/>
    </row>
    <row r="6420" spans="25:26">
      <c r="Y6420" s="1354"/>
      <c r="Z6420" s="1060"/>
    </row>
    <row r="6421" spans="25:26">
      <c r="Y6421" s="1354"/>
      <c r="Z6421" s="1060"/>
    </row>
    <row r="6422" spans="25:26">
      <c r="Y6422" s="1354"/>
      <c r="Z6422" s="1060"/>
    </row>
    <row r="6423" spans="25:26">
      <c r="Y6423" s="1354"/>
      <c r="Z6423" s="1060"/>
    </row>
    <row r="6424" spans="25:26">
      <c r="Y6424" s="1354"/>
      <c r="Z6424" s="1060"/>
    </row>
    <row r="6425" spans="25:26">
      <c r="Y6425" s="1354"/>
      <c r="Z6425" s="1060"/>
    </row>
    <row r="6426" spans="25:26">
      <c r="Y6426" s="1354"/>
      <c r="Z6426" s="1060"/>
    </row>
    <row r="6427" spans="25:26">
      <c r="Y6427" s="1354"/>
      <c r="Z6427" s="1060"/>
    </row>
    <row r="6428" spans="25:26">
      <c r="Y6428" s="1354"/>
      <c r="Z6428" s="1060"/>
    </row>
    <row r="6429" spans="25:26">
      <c r="Y6429" s="1354"/>
      <c r="Z6429" s="1060"/>
    </row>
    <row r="6430" spans="25:26">
      <c r="Y6430" s="1354"/>
      <c r="Z6430" s="1060"/>
    </row>
    <row r="6431" spans="25:26">
      <c r="Y6431" s="1354"/>
      <c r="Z6431" s="1060"/>
    </row>
    <row r="6432" spans="25:26">
      <c r="Y6432" s="1354"/>
      <c r="Z6432" s="1060"/>
    </row>
    <row r="6433" spans="25:26">
      <c r="Y6433" s="1354"/>
      <c r="Z6433" s="1060"/>
    </row>
    <row r="6434" spans="25:26">
      <c r="Y6434" s="1354"/>
      <c r="Z6434" s="1060"/>
    </row>
    <row r="6435" spans="25:26">
      <c r="Y6435" s="1354"/>
      <c r="Z6435" s="1060"/>
    </row>
    <row r="6436" spans="25:26">
      <c r="Y6436" s="1354"/>
      <c r="Z6436" s="1060"/>
    </row>
    <row r="6437" spans="25:26">
      <c r="Y6437" s="1354"/>
      <c r="Z6437" s="1060"/>
    </row>
    <row r="6438" spans="25:26">
      <c r="Y6438" s="1354"/>
      <c r="Z6438" s="1060"/>
    </row>
    <row r="6439" spans="25:26">
      <c r="Y6439" s="1354"/>
      <c r="Z6439" s="1060"/>
    </row>
    <row r="6440" spans="25:26">
      <c r="Y6440" s="1354"/>
      <c r="Z6440" s="1060"/>
    </row>
    <row r="6441" spans="25:26">
      <c r="Y6441" s="1354"/>
      <c r="Z6441" s="1060"/>
    </row>
    <row r="6442" spans="25:26">
      <c r="Y6442" s="1354"/>
      <c r="Z6442" s="1060"/>
    </row>
    <row r="6443" spans="25:26">
      <c r="Y6443" s="1354"/>
      <c r="Z6443" s="1060"/>
    </row>
    <row r="6444" spans="25:26">
      <c r="Y6444" s="1354"/>
      <c r="Z6444" s="1060"/>
    </row>
    <row r="6445" spans="25:26">
      <c r="Y6445" s="1354"/>
      <c r="Z6445" s="1060"/>
    </row>
    <row r="6446" spans="25:26">
      <c r="Y6446" s="1354"/>
      <c r="Z6446" s="1060"/>
    </row>
    <row r="6447" spans="25:26">
      <c r="Y6447" s="1354"/>
      <c r="Z6447" s="1060"/>
    </row>
    <row r="6448" spans="25:26">
      <c r="Y6448" s="1354"/>
      <c r="Z6448" s="1060"/>
    </row>
    <row r="6449" spans="25:26">
      <c r="Y6449" s="1354"/>
      <c r="Z6449" s="1060"/>
    </row>
    <row r="6450" spans="25:26">
      <c r="Y6450" s="1354"/>
      <c r="Z6450" s="1060"/>
    </row>
    <row r="6451" spans="25:26">
      <c r="Y6451" s="1354"/>
      <c r="Z6451" s="1060"/>
    </row>
    <row r="6452" spans="25:26">
      <c r="Y6452" s="1354"/>
      <c r="Z6452" s="1060"/>
    </row>
    <row r="6453" spans="25:26">
      <c r="Y6453" s="1354"/>
      <c r="Z6453" s="1060"/>
    </row>
    <row r="6454" spans="25:26">
      <c r="Y6454" s="1354"/>
      <c r="Z6454" s="1060"/>
    </row>
    <row r="6455" spans="25:26">
      <c r="Y6455" s="1354"/>
      <c r="Z6455" s="1060"/>
    </row>
    <row r="6456" spans="25:26">
      <c r="Y6456" s="1354"/>
      <c r="Z6456" s="1060"/>
    </row>
    <row r="6457" spans="25:26">
      <c r="Y6457" s="1354"/>
      <c r="Z6457" s="1060"/>
    </row>
    <row r="6458" spans="25:26">
      <c r="Y6458" s="1354"/>
      <c r="Z6458" s="1060"/>
    </row>
    <row r="6459" spans="25:26">
      <c r="Y6459" s="1354"/>
      <c r="Z6459" s="1060"/>
    </row>
    <row r="6460" spans="25:26">
      <c r="Y6460" s="1354"/>
      <c r="Z6460" s="1060"/>
    </row>
    <row r="6461" spans="25:26">
      <c r="Y6461" s="1354"/>
      <c r="Z6461" s="1060"/>
    </row>
    <row r="6462" spans="25:26">
      <c r="Y6462" s="1354"/>
      <c r="Z6462" s="1060"/>
    </row>
    <row r="6463" spans="25:26">
      <c r="Y6463" s="1354"/>
      <c r="Z6463" s="1060"/>
    </row>
    <row r="6464" spans="25:26">
      <c r="Y6464" s="1354"/>
      <c r="Z6464" s="1060"/>
    </row>
    <row r="6465" spans="25:26">
      <c r="Y6465" s="1354"/>
      <c r="Z6465" s="1060"/>
    </row>
    <row r="6466" spans="25:26">
      <c r="Y6466" s="1354"/>
      <c r="Z6466" s="1060"/>
    </row>
    <row r="6467" spans="25:26">
      <c r="Y6467" s="1354"/>
      <c r="Z6467" s="1060"/>
    </row>
    <row r="6468" spans="25:26">
      <c r="Y6468" s="1354"/>
      <c r="Z6468" s="1060"/>
    </row>
    <row r="6469" spans="25:26">
      <c r="Y6469" s="1354"/>
      <c r="Z6469" s="1060"/>
    </row>
    <row r="6470" spans="25:26">
      <c r="Y6470" s="1354"/>
      <c r="Z6470" s="1060"/>
    </row>
    <row r="6471" spans="25:26">
      <c r="Y6471" s="1354"/>
      <c r="Z6471" s="1060"/>
    </row>
    <row r="6472" spans="25:26">
      <c r="Y6472" s="1354"/>
      <c r="Z6472" s="1060"/>
    </row>
    <row r="6473" spans="25:26">
      <c r="Y6473" s="1354"/>
      <c r="Z6473" s="1060"/>
    </row>
    <row r="6474" spans="25:26">
      <c r="Y6474" s="1354"/>
      <c r="Z6474" s="1060"/>
    </row>
    <row r="6475" spans="25:26">
      <c r="Y6475" s="1354"/>
      <c r="Z6475" s="1060"/>
    </row>
    <row r="6476" spans="25:26">
      <c r="Y6476" s="1354"/>
      <c r="Z6476" s="1060"/>
    </row>
    <row r="6477" spans="25:26">
      <c r="Y6477" s="1354"/>
      <c r="Z6477" s="1060"/>
    </row>
    <row r="6478" spans="25:26">
      <c r="Y6478" s="1354"/>
      <c r="Z6478" s="1060"/>
    </row>
    <row r="6479" spans="25:26">
      <c r="Y6479" s="1354"/>
      <c r="Z6479" s="1060"/>
    </row>
    <row r="6480" spans="25:26">
      <c r="Y6480" s="1354"/>
      <c r="Z6480" s="1060"/>
    </row>
    <row r="6481" spans="25:26">
      <c r="Y6481" s="1354"/>
      <c r="Z6481" s="1060"/>
    </row>
    <row r="6482" spans="25:26">
      <c r="Y6482" s="1354"/>
      <c r="Z6482" s="1060"/>
    </row>
    <row r="6483" spans="25:26">
      <c r="Y6483" s="1354"/>
      <c r="Z6483" s="1060"/>
    </row>
    <row r="6484" spans="25:26">
      <c r="Y6484" s="1354"/>
      <c r="Z6484" s="1060"/>
    </row>
    <row r="6485" spans="25:26">
      <c r="Y6485" s="1354"/>
      <c r="Z6485" s="1060"/>
    </row>
    <row r="6486" spans="25:26">
      <c r="Y6486" s="1354"/>
      <c r="Z6486" s="1060"/>
    </row>
    <row r="6487" spans="25:26">
      <c r="Y6487" s="1354"/>
      <c r="Z6487" s="1060"/>
    </row>
    <row r="6488" spans="25:26">
      <c r="Y6488" s="1354"/>
      <c r="Z6488" s="1060"/>
    </row>
    <row r="6489" spans="25:26">
      <c r="Y6489" s="1354"/>
      <c r="Z6489" s="1060"/>
    </row>
    <row r="6490" spans="25:26">
      <c r="Y6490" s="1354"/>
      <c r="Z6490" s="1060"/>
    </row>
    <row r="6491" spans="25:26">
      <c r="Y6491" s="1354"/>
      <c r="Z6491" s="1060"/>
    </row>
    <row r="6492" spans="25:26">
      <c r="Y6492" s="1354"/>
      <c r="Z6492" s="1060"/>
    </row>
    <row r="6493" spans="25:26">
      <c r="Y6493" s="1354"/>
      <c r="Z6493" s="1060"/>
    </row>
    <row r="6494" spans="25:26">
      <c r="Y6494" s="1354"/>
      <c r="Z6494" s="1060"/>
    </row>
    <row r="6495" spans="25:26">
      <c r="Y6495" s="1354"/>
      <c r="Z6495" s="1060"/>
    </row>
    <row r="6496" spans="25:26">
      <c r="Y6496" s="1354"/>
      <c r="Z6496" s="1060"/>
    </row>
    <row r="6497" spans="25:26">
      <c r="Y6497" s="1354"/>
      <c r="Z6497" s="1060"/>
    </row>
    <row r="6498" spans="25:26">
      <c r="Y6498" s="1354"/>
      <c r="Z6498" s="1060"/>
    </row>
    <row r="6499" spans="25:26">
      <c r="Y6499" s="1354"/>
      <c r="Z6499" s="1060"/>
    </row>
    <row r="6500" spans="25:26">
      <c r="Y6500" s="1354"/>
      <c r="Z6500" s="1060"/>
    </row>
    <row r="6501" spans="25:26">
      <c r="Y6501" s="1354"/>
      <c r="Z6501" s="1060"/>
    </row>
    <row r="6502" spans="25:26">
      <c r="Y6502" s="1354"/>
      <c r="Z6502" s="1060"/>
    </row>
    <row r="6503" spans="25:26">
      <c r="Y6503" s="1354"/>
      <c r="Z6503" s="1060"/>
    </row>
    <row r="6504" spans="25:26">
      <c r="Y6504" s="1354"/>
      <c r="Z6504" s="1060"/>
    </row>
    <row r="6505" spans="25:26">
      <c r="Y6505" s="1354"/>
      <c r="Z6505" s="1060"/>
    </row>
    <row r="6506" spans="25:26">
      <c r="Y6506" s="1354"/>
      <c r="Z6506" s="1060"/>
    </row>
    <row r="6507" spans="25:26">
      <c r="Y6507" s="1354"/>
      <c r="Z6507" s="1060"/>
    </row>
    <row r="6508" spans="25:26">
      <c r="Y6508" s="1354"/>
      <c r="Z6508" s="1060"/>
    </row>
    <row r="6509" spans="25:26">
      <c r="Y6509" s="1354"/>
      <c r="Z6509" s="1060"/>
    </row>
    <row r="6510" spans="25:26">
      <c r="Y6510" s="1354"/>
      <c r="Z6510" s="1060"/>
    </row>
    <row r="6511" spans="25:26">
      <c r="Y6511" s="1354"/>
      <c r="Z6511" s="1060"/>
    </row>
    <row r="6512" spans="25:26">
      <c r="Y6512" s="1354"/>
      <c r="Z6512" s="1060"/>
    </row>
    <row r="6513" spans="25:26">
      <c r="Y6513" s="1354"/>
      <c r="Z6513" s="1060"/>
    </row>
    <row r="6514" spans="25:26">
      <c r="Y6514" s="1354"/>
      <c r="Z6514" s="1060"/>
    </row>
    <row r="6515" spans="25:26">
      <c r="Y6515" s="1354"/>
      <c r="Z6515" s="1060"/>
    </row>
    <row r="6516" spans="25:26">
      <c r="Y6516" s="1354"/>
      <c r="Z6516" s="1060"/>
    </row>
    <row r="6517" spans="25:26">
      <c r="Y6517" s="1354"/>
      <c r="Z6517" s="1060"/>
    </row>
    <row r="6518" spans="25:26">
      <c r="Y6518" s="1354"/>
      <c r="Z6518" s="1060"/>
    </row>
    <row r="6519" spans="25:26">
      <c r="Y6519" s="1354"/>
      <c r="Z6519" s="1060"/>
    </row>
    <row r="6520" spans="25:26">
      <c r="Y6520" s="1354"/>
      <c r="Z6520" s="1060"/>
    </row>
    <row r="6521" spans="25:26">
      <c r="Y6521" s="1354"/>
      <c r="Z6521" s="1060"/>
    </row>
    <row r="6522" spans="25:26">
      <c r="Y6522" s="1354"/>
      <c r="Z6522" s="1060"/>
    </row>
    <row r="6523" spans="25:26">
      <c r="Y6523" s="1354"/>
      <c r="Z6523" s="1060"/>
    </row>
    <row r="6524" spans="25:26">
      <c r="Y6524" s="1354"/>
      <c r="Z6524" s="1060"/>
    </row>
    <row r="6525" spans="25:26">
      <c r="Y6525" s="1354"/>
      <c r="Z6525" s="1060"/>
    </row>
    <row r="6526" spans="25:26">
      <c r="Y6526" s="1354"/>
      <c r="Z6526" s="1060"/>
    </row>
    <row r="6527" spans="25:26">
      <c r="Y6527" s="1354"/>
      <c r="Z6527" s="1060"/>
    </row>
    <row r="6528" spans="25:26">
      <c r="Y6528" s="1354"/>
      <c r="Z6528" s="1060"/>
    </row>
    <row r="6529" spans="25:26">
      <c r="Y6529" s="1354"/>
      <c r="Z6529" s="1060"/>
    </row>
    <row r="6530" spans="25:26">
      <c r="Y6530" s="1354"/>
      <c r="Z6530" s="1060"/>
    </row>
    <row r="6531" spans="25:26">
      <c r="Y6531" s="1354"/>
      <c r="Z6531" s="1060"/>
    </row>
    <row r="6532" spans="25:26">
      <c r="Y6532" s="1354"/>
      <c r="Z6532" s="1060"/>
    </row>
    <row r="6533" spans="25:26">
      <c r="Y6533" s="1354"/>
      <c r="Z6533" s="1060"/>
    </row>
    <row r="6534" spans="25:26">
      <c r="Y6534" s="1354"/>
      <c r="Z6534" s="1060"/>
    </row>
    <row r="6535" spans="25:26">
      <c r="Y6535" s="1354"/>
      <c r="Z6535" s="1060"/>
    </row>
    <row r="6536" spans="25:26">
      <c r="Y6536" s="1354"/>
      <c r="Z6536" s="1060"/>
    </row>
    <row r="6537" spans="25:26">
      <c r="Y6537" s="1354"/>
      <c r="Z6537" s="1060"/>
    </row>
    <row r="6538" spans="25:26">
      <c r="Y6538" s="1354"/>
      <c r="Z6538" s="1060"/>
    </row>
    <row r="6539" spans="25:26">
      <c r="Y6539" s="1354"/>
      <c r="Z6539" s="1060"/>
    </row>
    <row r="6540" spans="25:26">
      <c r="Y6540" s="1354"/>
      <c r="Z6540" s="1060"/>
    </row>
    <row r="6541" spans="25:26">
      <c r="Y6541" s="1354"/>
      <c r="Z6541" s="1060"/>
    </row>
    <row r="6542" spans="25:26">
      <c r="Y6542" s="1354"/>
      <c r="Z6542" s="1060"/>
    </row>
    <row r="6543" spans="25:26">
      <c r="Y6543" s="1354"/>
      <c r="Z6543" s="1060"/>
    </row>
    <row r="6544" spans="25:26">
      <c r="Y6544" s="1354"/>
      <c r="Z6544" s="1060"/>
    </row>
    <row r="6545" spans="25:26">
      <c r="Y6545" s="1354"/>
      <c r="Z6545" s="1060"/>
    </row>
    <row r="6546" spans="25:26">
      <c r="Y6546" s="1354"/>
      <c r="Z6546" s="1060"/>
    </row>
    <row r="6547" spans="25:26">
      <c r="Y6547" s="1354"/>
      <c r="Z6547" s="1060"/>
    </row>
    <row r="6548" spans="25:26">
      <c r="Y6548" s="1354"/>
      <c r="Z6548" s="1060"/>
    </row>
    <row r="6549" spans="25:26">
      <c r="Y6549" s="1354"/>
      <c r="Z6549" s="1060"/>
    </row>
    <row r="6550" spans="25:26">
      <c r="Y6550" s="1354"/>
      <c r="Z6550" s="1060"/>
    </row>
    <row r="6551" spans="25:26">
      <c r="Y6551" s="1354"/>
      <c r="Z6551" s="1060"/>
    </row>
    <row r="6552" spans="25:26">
      <c r="Y6552" s="1354"/>
      <c r="Z6552" s="1060"/>
    </row>
    <row r="6553" spans="25:26">
      <c r="Y6553" s="1354"/>
      <c r="Z6553" s="1060"/>
    </row>
    <row r="6554" spans="25:26">
      <c r="Y6554" s="1354"/>
      <c r="Z6554" s="1060"/>
    </row>
    <row r="6555" spans="25:26">
      <c r="Y6555" s="1354"/>
      <c r="Z6555" s="1060"/>
    </row>
    <row r="6556" spans="25:26">
      <c r="Y6556" s="1354"/>
      <c r="Z6556" s="1060"/>
    </row>
    <row r="6557" spans="25:26">
      <c r="Y6557" s="1354"/>
      <c r="Z6557" s="1060"/>
    </row>
    <row r="6558" spans="25:26">
      <c r="Y6558" s="1354"/>
      <c r="Z6558" s="1060"/>
    </row>
    <row r="6559" spans="25:26">
      <c r="Y6559" s="1354"/>
      <c r="Z6559" s="1060"/>
    </row>
    <row r="6560" spans="25:26">
      <c r="Y6560" s="1354"/>
      <c r="Z6560" s="1060"/>
    </row>
    <row r="6561" spans="25:26">
      <c r="Y6561" s="1354"/>
      <c r="Z6561" s="1060"/>
    </row>
    <row r="6562" spans="25:26">
      <c r="Y6562" s="1354"/>
      <c r="Z6562" s="1060"/>
    </row>
    <row r="6563" spans="25:26">
      <c r="Y6563" s="1354"/>
      <c r="Z6563" s="1060"/>
    </row>
    <row r="6564" spans="25:26">
      <c r="Y6564" s="1354"/>
      <c r="Z6564" s="1060"/>
    </row>
    <row r="6565" spans="25:26">
      <c r="Y6565" s="1354"/>
      <c r="Z6565" s="1060"/>
    </row>
    <row r="6566" spans="25:26">
      <c r="Y6566" s="1354"/>
      <c r="Z6566" s="1060"/>
    </row>
    <row r="6567" spans="25:26">
      <c r="Y6567" s="1354"/>
      <c r="Z6567" s="1060"/>
    </row>
    <row r="6568" spans="25:26">
      <c r="Y6568" s="1354"/>
      <c r="Z6568" s="1060"/>
    </row>
    <row r="6569" spans="25:26">
      <c r="Y6569" s="1354"/>
      <c r="Z6569" s="1060"/>
    </row>
    <row r="6570" spans="25:26">
      <c r="Y6570" s="1354"/>
      <c r="Z6570" s="1060"/>
    </row>
    <row r="6571" spans="25:26">
      <c r="Y6571" s="1354"/>
      <c r="Z6571" s="1060"/>
    </row>
    <row r="6572" spans="25:26">
      <c r="Y6572" s="1354"/>
      <c r="Z6572" s="1060"/>
    </row>
    <row r="6573" spans="25:26">
      <c r="Y6573" s="1354"/>
      <c r="Z6573" s="1060"/>
    </row>
    <row r="6574" spans="25:26">
      <c r="Y6574" s="1354"/>
      <c r="Z6574" s="1060"/>
    </row>
    <row r="6575" spans="25:26">
      <c r="Y6575" s="1354"/>
      <c r="Z6575" s="1060"/>
    </row>
    <row r="6576" spans="25:26">
      <c r="Y6576" s="1354"/>
      <c r="Z6576" s="1060"/>
    </row>
    <row r="6577" spans="25:26">
      <c r="Y6577" s="1354"/>
      <c r="Z6577" s="1060"/>
    </row>
    <row r="6578" spans="25:26">
      <c r="Y6578" s="1354"/>
      <c r="Z6578" s="1060"/>
    </row>
    <row r="6579" spans="25:26">
      <c r="Y6579" s="1354"/>
      <c r="Z6579" s="1060"/>
    </row>
    <row r="6580" spans="25:26">
      <c r="Y6580" s="1354"/>
      <c r="Z6580" s="1060"/>
    </row>
    <row r="6581" spans="25:26">
      <c r="Y6581" s="1354"/>
      <c r="Z6581" s="1060"/>
    </row>
    <row r="6582" spans="25:26">
      <c r="Y6582" s="1354"/>
      <c r="Z6582" s="1060"/>
    </row>
    <row r="6583" spans="25:26">
      <c r="Y6583" s="1354"/>
      <c r="Z6583" s="1060"/>
    </row>
    <row r="6584" spans="25:26">
      <c r="Y6584" s="1354"/>
      <c r="Z6584" s="1060"/>
    </row>
    <row r="6585" spans="25:26">
      <c r="Y6585" s="1354"/>
      <c r="Z6585" s="1060"/>
    </row>
    <row r="6586" spans="25:26">
      <c r="Y6586" s="1354"/>
      <c r="Z6586" s="1060"/>
    </row>
    <row r="6587" spans="25:26">
      <c r="Y6587" s="1354"/>
      <c r="Z6587" s="1060"/>
    </row>
    <row r="6588" spans="25:26">
      <c r="Y6588" s="1354"/>
      <c r="Z6588" s="1060"/>
    </row>
    <row r="6589" spans="25:26">
      <c r="Y6589" s="1354"/>
      <c r="Z6589" s="1060"/>
    </row>
    <row r="6590" spans="25:26">
      <c r="Y6590" s="1354"/>
      <c r="Z6590" s="1060"/>
    </row>
    <row r="6591" spans="25:26">
      <c r="Y6591" s="1354"/>
      <c r="Z6591" s="1060"/>
    </row>
    <row r="6592" spans="25:26">
      <c r="Y6592" s="1354"/>
      <c r="Z6592" s="1060"/>
    </row>
    <row r="6593" spans="25:26">
      <c r="Y6593" s="1354"/>
      <c r="Z6593" s="1060"/>
    </row>
    <row r="6594" spans="25:26">
      <c r="Y6594" s="1354"/>
      <c r="Z6594" s="1060"/>
    </row>
    <row r="6595" spans="25:26">
      <c r="Y6595" s="1354"/>
      <c r="Z6595" s="1060"/>
    </row>
    <row r="6596" spans="25:26">
      <c r="Y6596" s="1354"/>
      <c r="Z6596" s="1060"/>
    </row>
    <row r="6597" spans="25:26">
      <c r="Y6597" s="1354"/>
      <c r="Z6597" s="1060"/>
    </row>
    <row r="6598" spans="25:26">
      <c r="Y6598" s="1354"/>
      <c r="Z6598" s="1060"/>
    </row>
    <row r="6599" spans="25:26">
      <c r="Y6599" s="1354"/>
      <c r="Z6599" s="1060"/>
    </row>
    <row r="6600" spans="25:26">
      <c r="Y6600" s="1354"/>
      <c r="Z6600" s="1060"/>
    </row>
    <row r="6601" spans="25:26">
      <c r="Y6601" s="1354"/>
      <c r="Z6601" s="1060"/>
    </row>
    <row r="6602" spans="25:26">
      <c r="Y6602" s="1354"/>
      <c r="Z6602" s="1060"/>
    </row>
    <row r="6603" spans="25:26">
      <c r="Y6603" s="1354"/>
      <c r="Z6603" s="1060"/>
    </row>
    <row r="6604" spans="25:26">
      <c r="Y6604" s="1354"/>
      <c r="Z6604" s="1060"/>
    </row>
    <row r="6605" spans="25:26">
      <c r="Y6605" s="1354"/>
      <c r="Z6605" s="1060"/>
    </row>
    <row r="6606" spans="25:26">
      <c r="Y6606" s="1354"/>
      <c r="Z6606" s="1060"/>
    </row>
    <row r="6607" spans="25:26">
      <c r="Y6607" s="1354"/>
      <c r="Z6607" s="1060"/>
    </row>
    <row r="6608" spans="25:26">
      <c r="Y6608" s="1354"/>
      <c r="Z6608" s="1060"/>
    </row>
    <row r="6609" spans="25:26">
      <c r="Y6609" s="1354"/>
      <c r="Z6609" s="1060"/>
    </row>
    <row r="6610" spans="25:26">
      <c r="Y6610" s="1354"/>
      <c r="Z6610" s="1060"/>
    </row>
    <row r="6611" spans="25:26">
      <c r="Y6611" s="1354"/>
      <c r="Z6611" s="1060"/>
    </row>
    <row r="6612" spans="25:26">
      <c r="Y6612" s="1354"/>
      <c r="Z6612" s="1060"/>
    </row>
    <row r="6613" spans="25:26">
      <c r="Y6613" s="1354"/>
      <c r="Z6613" s="1060"/>
    </row>
    <row r="6614" spans="25:26">
      <c r="Y6614" s="1354"/>
      <c r="Z6614" s="1060"/>
    </row>
    <row r="6615" spans="25:26">
      <c r="Y6615" s="1354"/>
      <c r="Z6615" s="1060"/>
    </row>
    <row r="6616" spans="25:26">
      <c r="Y6616" s="1354"/>
      <c r="Z6616" s="1060"/>
    </row>
    <row r="6617" spans="25:26">
      <c r="Y6617" s="1354"/>
      <c r="Z6617" s="1060"/>
    </row>
    <row r="6618" spans="25:26">
      <c r="Y6618" s="1354"/>
      <c r="Z6618" s="1060"/>
    </row>
    <row r="6619" spans="25:26">
      <c r="Y6619" s="1354"/>
      <c r="Z6619" s="1060"/>
    </row>
    <row r="6620" spans="25:26">
      <c r="Y6620" s="1354"/>
      <c r="Z6620" s="1060"/>
    </row>
    <row r="6621" spans="25:26">
      <c r="Y6621" s="1354"/>
      <c r="Z6621" s="1060"/>
    </row>
    <row r="6622" spans="25:26">
      <c r="Y6622" s="1354"/>
      <c r="Z6622" s="1060"/>
    </row>
    <row r="6623" spans="25:26">
      <c r="Y6623" s="1354"/>
      <c r="Z6623" s="1060"/>
    </row>
    <row r="6624" spans="25:26">
      <c r="Y6624" s="1354"/>
      <c r="Z6624" s="1060"/>
    </row>
    <row r="6625" spans="25:26">
      <c r="Y6625" s="1354"/>
      <c r="Z6625" s="1060"/>
    </row>
    <row r="6626" spans="25:26">
      <c r="Y6626" s="1354"/>
      <c r="Z6626" s="1060"/>
    </row>
    <row r="6627" spans="25:26">
      <c r="Y6627" s="1354"/>
      <c r="Z6627" s="1060"/>
    </row>
    <row r="6628" spans="25:26">
      <c r="Y6628" s="1354"/>
      <c r="Z6628" s="1060"/>
    </row>
    <row r="6629" spans="25:26">
      <c r="Y6629" s="1354"/>
      <c r="Z6629" s="1060"/>
    </row>
    <row r="6630" spans="25:26">
      <c r="Y6630" s="1354"/>
      <c r="Z6630" s="1060"/>
    </row>
    <row r="6631" spans="25:26">
      <c r="Y6631" s="1354"/>
      <c r="Z6631" s="1060"/>
    </row>
    <row r="6632" spans="25:26">
      <c r="Y6632" s="1354"/>
      <c r="Z6632" s="1060"/>
    </row>
    <row r="6633" spans="25:26">
      <c r="Y6633" s="1354"/>
      <c r="Z6633" s="1060"/>
    </row>
    <row r="6634" spans="25:26">
      <c r="Y6634" s="1354"/>
      <c r="Z6634" s="1060"/>
    </row>
    <row r="6635" spans="25:26">
      <c r="Y6635" s="1354"/>
      <c r="Z6635" s="1060"/>
    </row>
    <row r="6636" spans="25:26">
      <c r="Y6636" s="1354"/>
      <c r="Z6636" s="1060"/>
    </row>
    <row r="6637" spans="25:26">
      <c r="Y6637" s="1354"/>
      <c r="Z6637" s="1060"/>
    </row>
    <row r="6638" spans="25:26">
      <c r="Y6638" s="1354"/>
      <c r="Z6638" s="1060"/>
    </row>
    <row r="6639" spans="25:26">
      <c r="Y6639" s="1354"/>
      <c r="Z6639" s="1060"/>
    </row>
    <row r="6640" spans="25:26">
      <c r="Y6640" s="1354"/>
      <c r="Z6640" s="1060"/>
    </row>
    <row r="6641" spans="25:26">
      <c r="Y6641" s="1354"/>
      <c r="Z6641" s="1060"/>
    </row>
    <row r="6642" spans="25:26">
      <c r="Y6642" s="1354"/>
      <c r="Z6642" s="1060"/>
    </row>
    <row r="6643" spans="25:26">
      <c r="Y6643" s="1354"/>
      <c r="Z6643" s="1060"/>
    </row>
    <row r="6644" spans="25:26">
      <c r="Y6644" s="1354"/>
      <c r="Z6644" s="1060"/>
    </row>
    <row r="6645" spans="25:26">
      <c r="Y6645" s="1354"/>
      <c r="Z6645" s="1060"/>
    </row>
    <row r="6646" spans="25:26">
      <c r="Y6646" s="1354"/>
      <c r="Z6646" s="1060"/>
    </row>
    <row r="6647" spans="25:26">
      <c r="Y6647" s="1354"/>
      <c r="Z6647" s="1060"/>
    </row>
    <row r="6648" spans="25:26">
      <c r="Y6648" s="1354"/>
      <c r="Z6648" s="1060"/>
    </row>
    <row r="6649" spans="25:26">
      <c r="Y6649" s="1354"/>
      <c r="Z6649" s="1060"/>
    </row>
    <row r="6650" spans="25:26">
      <c r="Y6650" s="1354"/>
      <c r="Z6650" s="1060"/>
    </row>
    <row r="6651" spans="25:26">
      <c r="Y6651" s="1354"/>
      <c r="Z6651" s="1060"/>
    </row>
    <row r="6652" spans="25:26">
      <c r="Y6652" s="1354"/>
      <c r="Z6652" s="1060"/>
    </row>
    <row r="6653" spans="25:26">
      <c r="Y6653" s="1354"/>
      <c r="Z6653" s="1060"/>
    </row>
    <row r="6654" spans="25:26">
      <c r="Y6654" s="1354"/>
      <c r="Z6654" s="1060"/>
    </row>
    <row r="6655" spans="25:26">
      <c r="Y6655" s="1354"/>
      <c r="Z6655" s="1060"/>
    </row>
    <row r="6656" spans="25:26">
      <c r="Y6656" s="1354"/>
      <c r="Z6656" s="1060"/>
    </row>
    <row r="6657" spans="25:26">
      <c r="Y6657" s="1354"/>
      <c r="Z6657" s="1060"/>
    </row>
    <row r="6658" spans="25:26">
      <c r="Y6658" s="1354"/>
      <c r="Z6658" s="1060"/>
    </row>
    <row r="6659" spans="25:26">
      <c r="Y6659" s="1354"/>
      <c r="Z6659" s="1060"/>
    </row>
    <row r="6660" spans="25:26">
      <c r="Y6660" s="1354"/>
      <c r="Z6660" s="1060"/>
    </row>
    <row r="6661" spans="25:26">
      <c r="Y6661" s="1354"/>
      <c r="Z6661" s="1060"/>
    </row>
    <row r="6662" spans="25:26">
      <c r="Y6662" s="1354"/>
      <c r="Z6662" s="1060"/>
    </row>
    <row r="6663" spans="25:26">
      <c r="Y6663" s="1354"/>
      <c r="Z6663" s="1060"/>
    </row>
    <row r="6664" spans="25:26">
      <c r="Y6664" s="1354"/>
      <c r="Z6664" s="1060"/>
    </row>
    <row r="6665" spans="25:26">
      <c r="Y6665" s="1354"/>
      <c r="Z6665" s="1060"/>
    </row>
    <row r="6666" spans="25:26">
      <c r="Y6666" s="1354"/>
      <c r="Z6666" s="1060"/>
    </row>
    <row r="6667" spans="25:26">
      <c r="Y6667" s="1354"/>
      <c r="Z6667" s="1060"/>
    </row>
    <row r="6668" spans="25:26">
      <c r="Y6668" s="1354"/>
      <c r="Z6668" s="1060"/>
    </row>
    <row r="6669" spans="25:26">
      <c r="Y6669" s="1354"/>
      <c r="Z6669" s="1060"/>
    </row>
    <row r="6670" spans="25:26">
      <c r="Y6670" s="1354"/>
      <c r="Z6670" s="1060"/>
    </row>
    <row r="6671" spans="25:26">
      <c r="Y6671" s="1354"/>
      <c r="Z6671" s="1060"/>
    </row>
    <row r="6672" spans="25:26">
      <c r="Y6672" s="1354"/>
      <c r="Z6672" s="1060"/>
    </row>
    <row r="6673" spans="25:26">
      <c r="Y6673" s="1354"/>
      <c r="Z6673" s="1060"/>
    </row>
    <row r="6674" spans="25:26">
      <c r="Y6674" s="1354"/>
      <c r="Z6674" s="1060"/>
    </row>
    <row r="6675" spans="25:26">
      <c r="Y6675" s="1354"/>
      <c r="Z6675" s="1060"/>
    </row>
    <row r="6676" spans="25:26">
      <c r="Y6676" s="1354"/>
      <c r="Z6676" s="1060"/>
    </row>
    <row r="6677" spans="25:26">
      <c r="Y6677" s="1354"/>
      <c r="Z6677" s="1060"/>
    </row>
    <row r="6678" spans="25:26">
      <c r="Y6678" s="1354"/>
      <c r="Z6678" s="1060"/>
    </row>
    <row r="6679" spans="25:26">
      <c r="Y6679" s="1354"/>
      <c r="Z6679" s="1060"/>
    </row>
    <row r="6680" spans="25:26">
      <c r="Y6680" s="1354"/>
      <c r="Z6680" s="1060"/>
    </row>
    <row r="6681" spans="25:26">
      <c r="Y6681" s="1354"/>
      <c r="Z6681" s="1060"/>
    </row>
    <row r="6682" spans="25:26">
      <c r="Y6682" s="1354"/>
      <c r="Z6682" s="1060"/>
    </row>
    <row r="6683" spans="25:26">
      <c r="Y6683" s="1354"/>
      <c r="Z6683" s="1060"/>
    </row>
    <row r="6684" spans="25:26">
      <c r="Y6684" s="1354"/>
      <c r="Z6684" s="1060"/>
    </row>
    <row r="6685" spans="25:26">
      <c r="Y6685" s="1354"/>
      <c r="Z6685" s="1060"/>
    </row>
    <row r="6686" spans="25:26">
      <c r="Y6686" s="1354"/>
      <c r="Z6686" s="1060"/>
    </row>
    <row r="6687" spans="25:26">
      <c r="Y6687" s="1354"/>
      <c r="Z6687" s="1060"/>
    </row>
    <row r="6688" spans="25:26">
      <c r="Y6688" s="1354"/>
      <c r="Z6688" s="1060"/>
    </row>
    <row r="6689" spans="25:26">
      <c r="Y6689" s="1354"/>
      <c r="Z6689" s="1060"/>
    </row>
    <row r="6690" spans="25:26">
      <c r="Y6690" s="1354"/>
      <c r="Z6690" s="1060"/>
    </row>
    <row r="6691" spans="25:26">
      <c r="Y6691" s="1354"/>
      <c r="Z6691" s="1060"/>
    </row>
    <row r="6692" spans="25:26">
      <c r="Y6692" s="1354"/>
      <c r="Z6692" s="1060"/>
    </row>
    <row r="6693" spans="25:26">
      <c r="Y6693" s="1354"/>
      <c r="Z6693" s="1060"/>
    </row>
    <row r="6694" spans="25:26">
      <c r="Y6694" s="1354"/>
      <c r="Z6694" s="1060"/>
    </row>
    <row r="6695" spans="25:26">
      <c r="Y6695" s="1354"/>
      <c r="Z6695" s="1060"/>
    </row>
    <row r="6696" spans="25:26">
      <c r="Y6696" s="1354"/>
      <c r="Z6696" s="1060"/>
    </row>
    <row r="6697" spans="25:26">
      <c r="Y6697" s="1354"/>
      <c r="Z6697" s="1060"/>
    </row>
    <row r="6698" spans="25:26">
      <c r="Y6698" s="1354"/>
      <c r="Z6698" s="1060"/>
    </row>
    <row r="6699" spans="25:26">
      <c r="Y6699" s="1354"/>
      <c r="Z6699" s="1060"/>
    </row>
    <row r="6700" spans="25:26">
      <c r="Y6700" s="1354"/>
      <c r="Z6700" s="1060"/>
    </row>
    <row r="6701" spans="25:26">
      <c r="Y6701" s="1354"/>
      <c r="Z6701" s="1060"/>
    </row>
    <row r="6702" spans="25:26">
      <c r="Y6702" s="1354"/>
      <c r="Z6702" s="1060"/>
    </row>
    <row r="6703" spans="25:26">
      <c r="Y6703" s="1354"/>
      <c r="Z6703" s="1060"/>
    </row>
    <row r="6704" spans="25:26">
      <c r="Y6704" s="1354"/>
      <c r="Z6704" s="1060"/>
    </row>
    <row r="6705" spans="25:26">
      <c r="Y6705" s="1354"/>
      <c r="Z6705" s="1060"/>
    </row>
    <row r="6706" spans="25:26">
      <c r="Y6706" s="1354"/>
      <c r="Z6706" s="1060"/>
    </row>
    <row r="6707" spans="25:26">
      <c r="Y6707" s="1354"/>
      <c r="Z6707" s="1060"/>
    </row>
    <row r="6708" spans="25:26">
      <c r="Y6708" s="1354"/>
      <c r="Z6708" s="1060"/>
    </row>
    <row r="6709" spans="25:26">
      <c r="Y6709" s="1354"/>
      <c r="Z6709" s="1060"/>
    </row>
    <row r="6710" spans="25:26">
      <c r="Y6710" s="1354"/>
      <c r="Z6710" s="1060"/>
    </row>
    <row r="6711" spans="25:26">
      <c r="Y6711" s="1354"/>
      <c r="Z6711" s="1060"/>
    </row>
    <row r="6712" spans="25:26">
      <c r="Y6712" s="1354"/>
      <c r="Z6712" s="1060"/>
    </row>
    <row r="6713" spans="25:26">
      <c r="Y6713" s="1354"/>
      <c r="Z6713" s="1060"/>
    </row>
    <row r="6714" spans="25:26">
      <c r="Y6714" s="1354"/>
      <c r="Z6714" s="1060"/>
    </row>
    <row r="6715" spans="25:26">
      <c r="Y6715" s="1354"/>
      <c r="Z6715" s="1060"/>
    </row>
    <row r="6716" spans="25:26">
      <c r="Y6716" s="1354"/>
      <c r="Z6716" s="1060"/>
    </row>
    <row r="6717" spans="25:26">
      <c r="Y6717" s="1354"/>
      <c r="Z6717" s="1060"/>
    </row>
    <row r="6718" spans="25:26">
      <c r="Y6718" s="1354"/>
      <c r="Z6718" s="1060"/>
    </row>
    <row r="6719" spans="25:26">
      <c r="Y6719" s="1354"/>
      <c r="Z6719" s="1060"/>
    </row>
    <row r="6720" spans="25:26">
      <c r="Y6720" s="1354"/>
      <c r="Z6720" s="1060"/>
    </row>
    <row r="6721" spans="25:26">
      <c r="Y6721" s="1354"/>
      <c r="Z6721" s="1060"/>
    </row>
    <row r="6722" spans="25:26">
      <c r="Y6722" s="1354"/>
      <c r="Z6722" s="1060"/>
    </row>
    <row r="6723" spans="25:26">
      <c r="Y6723" s="1354"/>
      <c r="Z6723" s="1060"/>
    </row>
    <row r="6724" spans="25:26">
      <c r="Y6724" s="1354"/>
      <c r="Z6724" s="1060"/>
    </row>
    <row r="6725" spans="25:26">
      <c r="Y6725" s="1354"/>
      <c r="Z6725" s="1060"/>
    </row>
    <row r="6726" spans="25:26">
      <c r="Y6726" s="1354"/>
      <c r="Z6726" s="1060"/>
    </row>
    <row r="6727" spans="25:26">
      <c r="Y6727" s="1354"/>
      <c r="Z6727" s="1060"/>
    </row>
    <row r="6728" spans="25:26">
      <c r="Y6728" s="1354"/>
      <c r="Z6728" s="1060"/>
    </row>
    <row r="6729" spans="25:26">
      <c r="Y6729" s="1354"/>
      <c r="Z6729" s="1060"/>
    </row>
    <row r="6730" spans="25:26">
      <c r="Y6730" s="1354"/>
      <c r="Z6730" s="1060"/>
    </row>
    <row r="6731" spans="25:26">
      <c r="Y6731" s="1354"/>
      <c r="Z6731" s="1060"/>
    </row>
    <row r="6732" spans="25:26">
      <c r="Y6732" s="1354"/>
      <c r="Z6732" s="1060"/>
    </row>
    <row r="6733" spans="25:26">
      <c r="Y6733" s="1354"/>
      <c r="Z6733" s="1060"/>
    </row>
    <row r="6734" spans="25:26">
      <c r="Y6734" s="1354"/>
      <c r="Z6734" s="1060"/>
    </row>
    <row r="6735" spans="25:26">
      <c r="Y6735" s="1354"/>
      <c r="Z6735" s="1060"/>
    </row>
    <row r="6736" spans="25:26">
      <c r="Y6736" s="1354"/>
      <c r="Z6736" s="1060"/>
    </row>
    <row r="6737" spans="25:26">
      <c r="Y6737" s="1354"/>
      <c r="Z6737" s="1060"/>
    </row>
    <row r="6738" spans="25:26">
      <c r="Y6738" s="1354"/>
      <c r="Z6738" s="1060"/>
    </row>
    <row r="6739" spans="25:26">
      <c r="Y6739" s="1354"/>
      <c r="Z6739" s="1060"/>
    </row>
    <row r="6740" spans="25:26">
      <c r="Y6740" s="1354"/>
      <c r="Z6740" s="1060"/>
    </row>
    <row r="6741" spans="25:26">
      <c r="Y6741" s="1354"/>
      <c r="Z6741" s="1060"/>
    </row>
    <row r="6742" spans="25:26">
      <c r="Y6742" s="1354"/>
      <c r="Z6742" s="1060"/>
    </row>
    <row r="6743" spans="25:26">
      <c r="Y6743" s="1354"/>
      <c r="Z6743" s="1060"/>
    </row>
    <row r="6744" spans="25:26">
      <c r="Y6744" s="1354"/>
      <c r="Z6744" s="1060"/>
    </row>
    <row r="6745" spans="25:26">
      <c r="Y6745" s="1354"/>
      <c r="Z6745" s="1060"/>
    </row>
    <row r="6746" spans="25:26">
      <c r="Y6746" s="1354"/>
      <c r="Z6746" s="1060"/>
    </row>
    <row r="6747" spans="25:26">
      <c r="Y6747" s="1354"/>
      <c r="Z6747" s="1060"/>
    </row>
    <row r="6748" spans="25:26">
      <c r="Y6748" s="1354"/>
      <c r="Z6748" s="1060"/>
    </row>
    <row r="6749" spans="25:26">
      <c r="Y6749" s="1354"/>
      <c r="Z6749" s="1060"/>
    </row>
    <row r="6750" spans="25:26">
      <c r="Y6750" s="1354"/>
      <c r="Z6750" s="1060"/>
    </row>
    <row r="6751" spans="25:26">
      <c r="Y6751" s="1354"/>
      <c r="Z6751" s="1060"/>
    </row>
    <row r="6752" spans="25:26">
      <c r="Y6752" s="1354"/>
      <c r="Z6752" s="1060"/>
    </row>
    <row r="6753" spans="25:26">
      <c r="Y6753" s="1354"/>
      <c r="Z6753" s="1060"/>
    </row>
    <row r="6754" spans="25:26">
      <c r="Y6754" s="1354"/>
      <c r="Z6754" s="1060"/>
    </row>
    <row r="6755" spans="25:26">
      <c r="Y6755" s="1354"/>
      <c r="Z6755" s="1060"/>
    </row>
    <row r="6756" spans="25:26">
      <c r="Y6756" s="1354"/>
      <c r="Z6756" s="1060"/>
    </row>
    <row r="6757" spans="25:26">
      <c r="Y6757" s="1354"/>
      <c r="Z6757" s="1060"/>
    </row>
    <row r="6758" spans="25:26">
      <c r="Y6758" s="1354"/>
      <c r="Z6758" s="1060"/>
    </row>
    <row r="6759" spans="25:26">
      <c r="Y6759" s="1354"/>
      <c r="Z6759" s="1060"/>
    </row>
    <row r="6760" spans="25:26">
      <c r="Y6760" s="1354"/>
      <c r="Z6760" s="1060"/>
    </row>
    <row r="6761" spans="25:26">
      <c r="Y6761" s="1354"/>
      <c r="Z6761" s="1060"/>
    </row>
    <row r="6762" spans="25:26">
      <c r="Y6762" s="1354"/>
      <c r="Z6762" s="1060"/>
    </row>
    <row r="6763" spans="25:26">
      <c r="Y6763" s="1354"/>
      <c r="Z6763" s="1060"/>
    </row>
    <row r="6764" spans="25:26">
      <c r="Y6764" s="1354"/>
      <c r="Z6764" s="1060"/>
    </row>
    <row r="6765" spans="25:26">
      <c r="Y6765" s="1354"/>
      <c r="Z6765" s="1060"/>
    </row>
    <row r="6766" spans="25:26">
      <c r="Y6766" s="1354"/>
      <c r="Z6766" s="1060"/>
    </row>
    <row r="6767" spans="25:26">
      <c r="Y6767" s="1354"/>
      <c r="Z6767" s="1060"/>
    </row>
    <row r="6768" spans="25:26">
      <c r="Y6768" s="1354"/>
      <c r="Z6768" s="1060"/>
    </row>
    <row r="6769" spans="25:26">
      <c r="Y6769" s="1354"/>
      <c r="Z6769" s="1060"/>
    </row>
    <row r="6770" spans="25:26">
      <c r="Y6770" s="1354"/>
      <c r="Z6770" s="1060"/>
    </row>
    <row r="6771" spans="25:26">
      <c r="Y6771" s="1354"/>
      <c r="Z6771" s="1060"/>
    </row>
    <row r="6772" spans="25:26">
      <c r="Y6772" s="1354"/>
      <c r="Z6772" s="1060"/>
    </row>
    <row r="6773" spans="25:26">
      <c r="Y6773" s="1354"/>
      <c r="Z6773" s="1060"/>
    </row>
    <row r="6774" spans="25:26">
      <c r="Y6774" s="1354"/>
      <c r="Z6774" s="1060"/>
    </row>
    <row r="6775" spans="25:26">
      <c r="Y6775" s="1354"/>
      <c r="Z6775" s="1060"/>
    </row>
    <row r="6776" spans="25:26">
      <c r="Y6776" s="1354"/>
      <c r="Z6776" s="1060"/>
    </row>
    <row r="6777" spans="25:26">
      <c r="Y6777" s="1354"/>
      <c r="Z6777" s="1060"/>
    </row>
    <row r="6778" spans="25:26">
      <c r="Y6778" s="1354"/>
      <c r="Z6778" s="1060"/>
    </row>
    <row r="6779" spans="25:26">
      <c r="Y6779" s="1354"/>
      <c r="Z6779" s="1060"/>
    </row>
    <row r="6780" spans="25:26">
      <c r="Y6780" s="1354"/>
      <c r="Z6780" s="1060"/>
    </row>
    <row r="6781" spans="25:26">
      <c r="Y6781" s="1354"/>
      <c r="Z6781" s="1060"/>
    </row>
    <row r="6782" spans="25:26">
      <c r="Y6782" s="1354"/>
      <c r="Z6782" s="1060"/>
    </row>
    <row r="6783" spans="25:26">
      <c r="Y6783" s="1354"/>
      <c r="Z6783" s="1060"/>
    </row>
    <row r="6784" spans="25:26">
      <c r="Y6784" s="1354"/>
      <c r="Z6784" s="1060"/>
    </row>
    <row r="6785" spans="25:26">
      <c r="Y6785" s="1354"/>
      <c r="Z6785" s="1060"/>
    </row>
    <row r="6786" spans="25:26">
      <c r="Y6786" s="1354"/>
      <c r="Z6786" s="1060"/>
    </row>
    <row r="6787" spans="25:26">
      <c r="Y6787" s="1354"/>
      <c r="Z6787" s="1060"/>
    </row>
    <row r="6788" spans="25:26">
      <c r="Y6788" s="1354"/>
      <c r="Z6788" s="1060"/>
    </row>
    <row r="6789" spans="25:26">
      <c r="Y6789" s="1354"/>
      <c r="Z6789" s="1060"/>
    </row>
    <row r="6790" spans="25:26">
      <c r="Y6790" s="1354"/>
      <c r="Z6790" s="1060"/>
    </row>
    <row r="6791" spans="25:26">
      <c r="Y6791" s="1354"/>
      <c r="Z6791" s="1060"/>
    </row>
    <row r="6792" spans="25:26">
      <c r="Y6792" s="1354"/>
      <c r="Z6792" s="1060"/>
    </row>
    <row r="6793" spans="25:26">
      <c r="Y6793" s="1354"/>
      <c r="Z6793" s="1060"/>
    </row>
    <row r="6794" spans="25:26">
      <c r="Y6794" s="1354"/>
      <c r="Z6794" s="1060"/>
    </row>
    <row r="6795" spans="25:26">
      <c r="Y6795" s="1354"/>
      <c r="Z6795" s="1060"/>
    </row>
    <row r="6796" spans="25:26">
      <c r="Y6796" s="1354"/>
      <c r="Z6796" s="1060"/>
    </row>
    <row r="6797" spans="25:26">
      <c r="Y6797" s="1354"/>
      <c r="Z6797" s="1060"/>
    </row>
    <row r="6798" spans="25:26">
      <c r="Y6798" s="1354"/>
      <c r="Z6798" s="1060"/>
    </row>
    <row r="6799" spans="25:26">
      <c r="Y6799" s="1354"/>
      <c r="Z6799" s="1060"/>
    </row>
    <row r="6800" spans="25:26">
      <c r="Y6800" s="1354"/>
      <c r="Z6800" s="1060"/>
    </row>
    <row r="6801" spans="25:26">
      <c r="Y6801" s="1354"/>
      <c r="Z6801" s="1060"/>
    </row>
    <row r="6802" spans="25:26">
      <c r="Y6802" s="1354"/>
      <c r="Z6802" s="1060"/>
    </row>
    <row r="6803" spans="25:26">
      <c r="Y6803" s="1354"/>
      <c r="Z6803" s="1060"/>
    </row>
    <row r="6804" spans="25:26">
      <c r="Y6804" s="1354"/>
      <c r="Z6804" s="1060"/>
    </row>
    <row r="6805" spans="25:26">
      <c r="Y6805" s="1354"/>
      <c r="Z6805" s="1060"/>
    </row>
    <row r="6806" spans="25:26">
      <c r="Y6806" s="1354"/>
      <c r="Z6806" s="1060"/>
    </row>
    <row r="6807" spans="25:26">
      <c r="Y6807" s="1354"/>
      <c r="Z6807" s="1060"/>
    </row>
    <row r="6808" spans="25:26">
      <c r="Y6808" s="1354"/>
      <c r="Z6808" s="1060"/>
    </row>
    <row r="6809" spans="25:26">
      <c r="Y6809" s="1354"/>
      <c r="Z6809" s="1060"/>
    </row>
    <row r="6810" spans="25:26">
      <c r="Y6810" s="1354"/>
      <c r="Z6810" s="1060"/>
    </row>
    <row r="6811" spans="25:26">
      <c r="Y6811" s="1354"/>
      <c r="Z6811" s="1060"/>
    </row>
    <row r="6812" spans="25:26">
      <c r="Y6812" s="1354"/>
      <c r="Z6812" s="1060"/>
    </row>
    <row r="6813" spans="25:26">
      <c r="Y6813" s="1354"/>
      <c r="Z6813" s="1060"/>
    </row>
    <row r="6814" spans="25:26">
      <c r="Y6814" s="1354"/>
      <c r="Z6814" s="1060"/>
    </row>
    <row r="6815" spans="25:26">
      <c r="Y6815" s="1354"/>
      <c r="Z6815" s="1060"/>
    </row>
    <row r="6816" spans="25:26">
      <c r="Y6816" s="1354"/>
      <c r="Z6816" s="1060"/>
    </row>
    <row r="6817" spans="25:26">
      <c r="Y6817" s="1354"/>
      <c r="Z6817" s="1060"/>
    </row>
    <row r="6818" spans="25:26">
      <c r="Y6818" s="1354"/>
      <c r="Z6818" s="1060"/>
    </row>
    <row r="6819" spans="25:26">
      <c r="Y6819" s="1354"/>
      <c r="Z6819" s="1060"/>
    </row>
    <row r="6820" spans="25:26">
      <c r="Y6820" s="1354"/>
      <c r="Z6820" s="1060"/>
    </row>
    <row r="6821" spans="25:26">
      <c r="Y6821" s="1354"/>
      <c r="Z6821" s="1060"/>
    </row>
    <row r="6822" spans="25:26">
      <c r="Y6822" s="1354"/>
      <c r="Z6822" s="1060"/>
    </row>
    <row r="6823" spans="25:26">
      <c r="Y6823" s="1354"/>
      <c r="Z6823" s="1060"/>
    </row>
    <row r="6824" spans="25:26">
      <c r="Y6824" s="1354"/>
      <c r="Z6824" s="1060"/>
    </row>
    <row r="6825" spans="25:26">
      <c r="Y6825" s="1354"/>
      <c r="Z6825" s="1060"/>
    </row>
    <row r="6826" spans="25:26">
      <c r="Y6826" s="1354"/>
      <c r="Z6826" s="1060"/>
    </row>
    <row r="6827" spans="25:26">
      <c r="Y6827" s="1354"/>
      <c r="Z6827" s="1060"/>
    </row>
    <row r="6828" spans="25:26">
      <c r="Y6828" s="1354"/>
      <c r="Z6828" s="1060"/>
    </row>
    <row r="6829" spans="25:26">
      <c r="Y6829" s="1354"/>
      <c r="Z6829" s="1060"/>
    </row>
    <row r="6830" spans="25:26">
      <c r="Y6830" s="1354"/>
      <c r="Z6830" s="1060"/>
    </row>
    <row r="6831" spans="25:26">
      <c r="Y6831" s="1354"/>
      <c r="Z6831" s="1060"/>
    </row>
    <row r="6832" spans="25:26">
      <c r="Y6832" s="1354"/>
      <c r="Z6832" s="1060"/>
    </row>
    <row r="6833" spans="25:26">
      <c r="Y6833" s="1354"/>
      <c r="Z6833" s="1060"/>
    </row>
    <row r="6834" spans="25:26">
      <c r="Y6834" s="1354"/>
      <c r="Z6834" s="1060"/>
    </row>
    <row r="6835" spans="25:26">
      <c r="Y6835" s="1354"/>
      <c r="Z6835" s="1060"/>
    </row>
    <row r="6836" spans="25:26">
      <c r="Y6836" s="1354"/>
      <c r="Z6836" s="1060"/>
    </row>
    <row r="6837" spans="25:26">
      <c r="Y6837" s="1354"/>
      <c r="Z6837" s="1060"/>
    </row>
    <row r="6838" spans="25:26">
      <c r="Y6838" s="1354"/>
      <c r="Z6838" s="1060"/>
    </row>
    <row r="6839" spans="25:26">
      <c r="Y6839" s="1354"/>
      <c r="Z6839" s="1060"/>
    </row>
    <row r="6840" spans="25:26">
      <c r="Y6840" s="1354"/>
      <c r="Z6840" s="1060"/>
    </row>
    <row r="6841" spans="25:26">
      <c r="Y6841" s="1354"/>
      <c r="Z6841" s="1060"/>
    </row>
    <row r="6842" spans="25:26">
      <c r="Y6842" s="1354"/>
      <c r="Z6842" s="1060"/>
    </row>
    <row r="6843" spans="25:26">
      <c r="Y6843" s="1354"/>
      <c r="Z6843" s="1060"/>
    </row>
    <row r="6844" spans="25:26">
      <c r="Y6844" s="1354"/>
      <c r="Z6844" s="1060"/>
    </row>
    <row r="6845" spans="25:26">
      <c r="Y6845" s="1354"/>
      <c r="Z6845" s="1060"/>
    </row>
    <row r="6846" spans="25:26">
      <c r="Y6846" s="1354"/>
      <c r="Z6846" s="1060"/>
    </row>
    <row r="6847" spans="25:26">
      <c r="Y6847" s="1354"/>
      <c r="Z6847" s="1060"/>
    </row>
    <row r="6848" spans="25:26">
      <c r="Y6848" s="1354"/>
      <c r="Z6848" s="1060"/>
    </row>
    <row r="6849" spans="25:26">
      <c r="Y6849" s="1354"/>
      <c r="Z6849" s="1060"/>
    </row>
    <row r="6850" spans="25:26">
      <c r="Y6850" s="1354"/>
      <c r="Z6850" s="1060"/>
    </row>
    <row r="6851" spans="25:26">
      <c r="Y6851" s="1354"/>
      <c r="Z6851" s="1060"/>
    </row>
    <row r="6852" spans="25:26">
      <c r="Y6852" s="1354"/>
      <c r="Z6852" s="1060"/>
    </row>
    <row r="6853" spans="25:26">
      <c r="Y6853" s="1354"/>
      <c r="Z6853" s="1060"/>
    </row>
    <row r="6854" spans="25:26">
      <c r="Y6854" s="1354"/>
      <c r="Z6854" s="1060"/>
    </row>
    <row r="6855" spans="25:26">
      <c r="Y6855" s="1354"/>
      <c r="Z6855" s="1060"/>
    </row>
    <row r="6856" spans="25:26">
      <c r="Y6856" s="1354"/>
      <c r="Z6856" s="1060"/>
    </row>
    <row r="6857" spans="25:26">
      <c r="Y6857" s="1354"/>
      <c r="Z6857" s="1060"/>
    </row>
    <row r="6858" spans="25:26">
      <c r="Y6858" s="1354"/>
      <c r="Z6858" s="1060"/>
    </row>
    <row r="6859" spans="25:26">
      <c r="Y6859" s="1354"/>
      <c r="Z6859" s="1060"/>
    </row>
    <row r="6860" spans="25:26">
      <c r="Y6860" s="1354"/>
      <c r="Z6860" s="1060"/>
    </row>
    <row r="6861" spans="25:26">
      <c r="Y6861" s="1354"/>
      <c r="Z6861" s="1060"/>
    </row>
    <row r="6862" spans="25:26">
      <c r="Y6862" s="1354"/>
      <c r="Z6862" s="1060"/>
    </row>
    <row r="6863" spans="25:26">
      <c r="Y6863" s="1354"/>
      <c r="Z6863" s="1060"/>
    </row>
    <row r="6864" spans="25:26">
      <c r="Y6864" s="1354"/>
      <c r="Z6864" s="1060"/>
    </row>
    <row r="6865" spans="25:26">
      <c r="Y6865" s="1354"/>
      <c r="Z6865" s="1060"/>
    </row>
    <row r="6866" spans="25:26">
      <c r="Y6866" s="1354"/>
      <c r="Z6866" s="1060"/>
    </row>
    <row r="6867" spans="25:26">
      <c r="Y6867" s="1354"/>
      <c r="Z6867" s="1060"/>
    </row>
    <row r="6868" spans="25:26">
      <c r="Y6868" s="1354"/>
      <c r="Z6868" s="1060"/>
    </row>
    <row r="6869" spans="25:26">
      <c r="Y6869" s="1354"/>
      <c r="Z6869" s="1060"/>
    </row>
    <row r="6870" spans="25:26">
      <c r="Y6870" s="1354"/>
      <c r="Z6870" s="1060"/>
    </row>
    <row r="6871" spans="25:26">
      <c r="Y6871" s="1354"/>
      <c r="Z6871" s="1060"/>
    </row>
    <row r="6872" spans="25:26">
      <c r="Y6872" s="1354"/>
      <c r="Z6872" s="1060"/>
    </row>
    <row r="6873" spans="25:26">
      <c r="Y6873" s="1354"/>
      <c r="Z6873" s="1060"/>
    </row>
    <row r="6874" spans="25:26">
      <c r="Y6874" s="1354"/>
      <c r="Z6874" s="1060"/>
    </row>
    <row r="6875" spans="25:26">
      <c r="Y6875" s="1354"/>
      <c r="Z6875" s="1060"/>
    </row>
    <row r="6876" spans="25:26">
      <c r="Y6876" s="1354"/>
      <c r="Z6876" s="1060"/>
    </row>
    <row r="6877" spans="25:26">
      <c r="Y6877" s="1354"/>
      <c r="Z6877" s="1060"/>
    </row>
    <row r="6878" spans="25:26">
      <c r="Y6878" s="1354"/>
      <c r="Z6878" s="1060"/>
    </row>
    <row r="6879" spans="25:26">
      <c r="Y6879" s="1354"/>
      <c r="Z6879" s="1060"/>
    </row>
    <row r="6880" spans="25:26">
      <c r="Y6880" s="1354"/>
      <c r="Z6880" s="1060"/>
    </row>
    <row r="6881" spans="25:26">
      <c r="Y6881" s="1354"/>
      <c r="Z6881" s="1060"/>
    </row>
    <row r="6882" spans="25:26">
      <c r="Y6882" s="1354"/>
      <c r="Z6882" s="1060"/>
    </row>
    <row r="6883" spans="25:26">
      <c r="Y6883" s="1354"/>
      <c r="Z6883" s="1060"/>
    </row>
    <row r="6884" spans="25:26">
      <c r="Y6884" s="1354"/>
      <c r="Z6884" s="1060"/>
    </row>
    <row r="6885" spans="25:26">
      <c r="Y6885" s="1354"/>
      <c r="Z6885" s="1060"/>
    </row>
    <row r="6886" spans="25:26">
      <c r="Y6886" s="1354"/>
      <c r="Z6886" s="1060"/>
    </row>
    <row r="6887" spans="25:26">
      <c r="Y6887" s="1354"/>
      <c r="Z6887" s="1060"/>
    </row>
    <row r="6888" spans="25:26">
      <c r="Y6888" s="1354"/>
      <c r="Z6888" s="1060"/>
    </row>
    <row r="6889" spans="25:26">
      <c r="Y6889" s="1354"/>
      <c r="Z6889" s="1060"/>
    </row>
    <row r="6890" spans="25:26">
      <c r="Y6890" s="1354"/>
      <c r="Z6890" s="1060"/>
    </row>
    <row r="6891" spans="25:26">
      <c r="Y6891" s="1354"/>
      <c r="Z6891" s="1060"/>
    </row>
    <row r="6892" spans="25:26">
      <c r="Y6892" s="1354"/>
      <c r="Z6892" s="1060"/>
    </row>
    <row r="6893" spans="25:26">
      <c r="Y6893" s="1354"/>
      <c r="Z6893" s="1060"/>
    </row>
    <row r="6894" spans="25:26">
      <c r="Y6894" s="1354"/>
      <c r="Z6894" s="1060"/>
    </row>
    <row r="6895" spans="25:26">
      <c r="Y6895" s="1354"/>
      <c r="Z6895" s="1060"/>
    </row>
    <row r="6896" spans="25:26">
      <c r="Y6896" s="1354"/>
      <c r="Z6896" s="1060"/>
    </row>
    <row r="6897" spans="25:26">
      <c r="Y6897" s="1354"/>
      <c r="Z6897" s="1060"/>
    </row>
    <row r="6898" spans="25:26">
      <c r="Y6898" s="1354"/>
      <c r="Z6898" s="1060"/>
    </row>
    <row r="6899" spans="25:26">
      <c r="Y6899" s="1354"/>
      <c r="Z6899" s="1060"/>
    </row>
    <row r="6900" spans="25:26">
      <c r="Y6900" s="1354"/>
      <c r="Z6900" s="1060"/>
    </row>
    <row r="6901" spans="25:26">
      <c r="Y6901" s="1354"/>
      <c r="Z6901" s="1060"/>
    </row>
    <row r="6902" spans="25:26">
      <c r="Y6902" s="1354"/>
      <c r="Z6902" s="1060"/>
    </row>
    <row r="6903" spans="25:26">
      <c r="Y6903" s="1354"/>
      <c r="Z6903" s="1060"/>
    </row>
    <row r="6904" spans="25:26">
      <c r="Y6904" s="1354"/>
      <c r="Z6904" s="1060"/>
    </row>
    <row r="6905" spans="25:26">
      <c r="Y6905" s="1354"/>
      <c r="Z6905" s="1060"/>
    </row>
    <row r="6906" spans="25:26">
      <c r="Y6906" s="1354"/>
      <c r="Z6906" s="1060"/>
    </row>
    <row r="6907" spans="25:26">
      <c r="Y6907" s="1354"/>
      <c r="Z6907" s="1060"/>
    </row>
    <row r="6908" spans="25:26">
      <c r="Y6908" s="1354"/>
      <c r="Z6908" s="1060"/>
    </row>
    <row r="6909" spans="25:26">
      <c r="Y6909" s="1354"/>
      <c r="Z6909" s="1060"/>
    </row>
    <row r="6910" spans="25:26">
      <c r="Y6910" s="1354"/>
      <c r="Z6910" s="1060"/>
    </row>
    <row r="6911" spans="25:26">
      <c r="Y6911" s="1354"/>
      <c r="Z6911" s="1060"/>
    </row>
    <row r="6912" spans="25:26">
      <c r="Y6912" s="1354"/>
      <c r="Z6912" s="1060"/>
    </row>
    <row r="6913" spans="25:26">
      <c r="Y6913" s="1354"/>
      <c r="Z6913" s="1060"/>
    </row>
    <row r="6914" spans="25:26">
      <c r="Y6914" s="1354"/>
      <c r="Z6914" s="1060"/>
    </row>
    <row r="6915" spans="25:26">
      <c r="Y6915" s="1354"/>
      <c r="Z6915" s="1060"/>
    </row>
    <row r="6916" spans="25:26">
      <c r="Y6916" s="1354"/>
      <c r="Z6916" s="1060"/>
    </row>
    <row r="6917" spans="25:26">
      <c r="Y6917" s="1354"/>
      <c r="Z6917" s="1060"/>
    </row>
    <row r="6918" spans="25:26">
      <c r="Y6918" s="1354"/>
      <c r="Z6918" s="1060"/>
    </row>
    <row r="6919" spans="25:26">
      <c r="Y6919" s="1354"/>
      <c r="Z6919" s="1060"/>
    </row>
    <row r="6920" spans="25:26">
      <c r="Y6920" s="1354"/>
      <c r="Z6920" s="1060"/>
    </row>
    <row r="6921" spans="25:26">
      <c r="Y6921" s="1354"/>
      <c r="Z6921" s="1060"/>
    </row>
    <row r="6922" spans="25:26">
      <c r="Y6922" s="1354"/>
      <c r="Z6922" s="1060"/>
    </row>
    <row r="6923" spans="25:26">
      <c r="Y6923" s="1354"/>
      <c r="Z6923" s="1060"/>
    </row>
    <row r="6924" spans="25:26">
      <c r="Y6924" s="1354"/>
      <c r="Z6924" s="1060"/>
    </row>
    <row r="6925" spans="25:26">
      <c r="Y6925" s="1354"/>
      <c r="Z6925" s="1060"/>
    </row>
    <row r="6926" spans="25:26">
      <c r="Y6926" s="1354"/>
      <c r="Z6926" s="1060"/>
    </row>
    <row r="6927" spans="25:26">
      <c r="Y6927" s="1354"/>
      <c r="Z6927" s="1060"/>
    </row>
    <row r="6928" spans="25:26">
      <c r="Y6928" s="1354"/>
      <c r="Z6928" s="1060"/>
    </row>
    <row r="6929" spans="25:26">
      <c r="Y6929" s="1354"/>
      <c r="Z6929" s="1060"/>
    </row>
    <row r="6930" spans="25:26">
      <c r="Y6930" s="1354"/>
      <c r="Z6930" s="1060"/>
    </row>
    <row r="6931" spans="25:26">
      <c r="Y6931" s="1354"/>
      <c r="Z6931" s="1060"/>
    </row>
    <row r="6932" spans="25:26">
      <c r="Y6932" s="1354"/>
      <c r="Z6932" s="1060"/>
    </row>
    <row r="6933" spans="25:26">
      <c r="Y6933" s="1354"/>
      <c r="Z6933" s="1060"/>
    </row>
    <row r="6934" spans="25:26">
      <c r="Y6934" s="1354"/>
      <c r="Z6934" s="1060"/>
    </row>
    <row r="6935" spans="25:26">
      <c r="Y6935" s="1354"/>
      <c r="Z6935" s="1060"/>
    </row>
    <row r="6936" spans="25:26">
      <c r="Y6936" s="1354"/>
      <c r="Z6936" s="1060"/>
    </row>
    <row r="6937" spans="25:26">
      <c r="Y6937" s="1354"/>
      <c r="Z6937" s="1060"/>
    </row>
    <row r="6938" spans="25:26">
      <c r="Y6938" s="1354"/>
      <c r="Z6938" s="1060"/>
    </row>
    <row r="6939" spans="25:26">
      <c r="Y6939" s="1354"/>
      <c r="Z6939" s="1060"/>
    </row>
    <row r="6940" spans="25:26">
      <c r="Y6940" s="1354"/>
      <c r="Z6940" s="1060"/>
    </row>
    <row r="6941" spans="25:26">
      <c r="Y6941" s="1354"/>
      <c r="Z6941" s="1060"/>
    </row>
    <row r="6942" spans="25:26">
      <c r="Y6942" s="1354"/>
      <c r="Z6942" s="1060"/>
    </row>
    <row r="6943" spans="25:26">
      <c r="Y6943" s="1354"/>
      <c r="Z6943" s="1060"/>
    </row>
    <row r="6944" spans="25:26">
      <c r="Y6944" s="1354"/>
      <c r="Z6944" s="1060"/>
    </row>
    <row r="6945" spans="25:26">
      <c r="Y6945" s="1354"/>
      <c r="Z6945" s="1060"/>
    </row>
    <row r="6946" spans="25:26">
      <c r="Y6946" s="1354"/>
      <c r="Z6946" s="1060"/>
    </row>
    <row r="6947" spans="25:26">
      <c r="Y6947" s="1354"/>
      <c r="Z6947" s="1060"/>
    </row>
    <row r="6948" spans="25:26">
      <c r="Y6948" s="1354"/>
      <c r="Z6948" s="1060"/>
    </row>
    <row r="6949" spans="25:26">
      <c r="Y6949" s="1354"/>
      <c r="Z6949" s="1060"/>
    </row>
    <row r="6950" spans="25:26">
      <c r="Y6950" s="1354"/>
      <c r="Z6950" s="1060"/>
    </row>
    <row r="6951" spans="25:26">
      <c r="Y6951" s="1354"/>
      <c r="Z6951" s="1060"/>
    </row>
    <row r="6952" spans="25:26">
      <c r="Y6952" s="1354"/>
      <c r="Z6952" s="1060"/>
    </row>
    <row r="6953" spans="25:26">
      <c r="Y6953" s="1354"/>
      <c r="Z6953" s="1060"/>
    </row>
    <row r="6954" spans="25:26">
      <c r="Y6954" s="1354"/>
      <c r="Z6954" s="1060"/>
    </row>
    <row r="6955" spans="25:26">
      <c r="Y6955" s="1354"/>
      <c r="Z6955" s="1060"/>
    </row>
    <row r="6956" spans="25:26">
      <c r="Y6956" s="1354"/>
      <c r="Z6956" s="1060"/>
    </row>
    <row r="6957" spans="25:26">
      <c r="Y6957" s="1354"/>
      <c r="Z6957" s="1060"/>
    </row>
    <row r="6958" spans="25:26">
      <c r="Y6958" s="1354"/>
      <c r="Z6958" s="1060"/>
    </row>
    <row r="6959" spans="25:26">
      <c r="Y6959" s="1354"/>
      <c r="Z6959" s="1060"/>
    </row>
    <row r="6960" spans="25:26">
      <c r="Y6960" s="1354"/>
      <c r="Z6960" s="1060"/>
    </row>
    <row r="6961" spans="25:26">
      <c r="Y6961" s="1354"/>
      <c r="Z6961" s="1060"/>
    </row>
    <row r="6962" spans="25:26">
      <c r="Y6962" s="1354"/>
      <c r="Z6962" s="1060"/>
    </row>
    <row r="6963" spans="25:26">
      <c r="Y6963" s="1354"/>
      <c r="Z6963" s="1060"/>
    </row>
    <row r="6964" spans="25:26">
      <c r="Y6964" s="1354"/>
      <c r="Z6964" s="1060"/>
    </row>
    <row r="6965" spans="25:26">
      <c r="Y6965" s="1354"/>
      <c r="Z6965" s="1060"/>
    </row>
    <row r="6966" spans="25:26">
      <c r="Y6966" s="1354"/>
      <c r="Z6966" s="1060"/>
    </row>
    <row r="6967" spans="25:26">
      <c r="Y6967" s="1354"/>
      <c r="Z6967" s="1060"/>
    </row>
    <row r="6968" spans="25:26">
      <c r="Y6968" s="1354"/>
      <c r="Z6968" s="1060"/>
    </row>
    <row r="6969" spans="25:26">
      <c r="Y6969" s="1354"/>
      <c r="Z6969" s="1060"/>
    </row>
    <row r="6970" spans="25:26">
      <c r="Y6970" s="1354"/>
      <c r="Z6970" s="1060"/>
    </row>
    <row r="6971" spans="25:26">
      <c r="Y6971" s="1354"/>
      <c r="Z6971" s="1060"/>
    </row>
    <row r="6972" spans="25:26">
      <c r="Y6972" s="1354"/>
      <c r="Z6972" s="1060"/>
    </row>
    <row r="6973" spans="25:26">
      <c r="Y6973" s="1354"/>
      <c r="Z6973" s="1060"/>
    </row>
    <row r="6974" spans="25:26">
      <c r="Y6974" s="1354"/>
      <c r="Z6974" s="1060"/>
    </row>
    <row r="6975" spans="25:26">
      <c r="Y6975" s="1354"/>
      <c r="Z6975" s="1060"/>
    </row>
    <row r="6976" spans="25:26">
      <c r="Y6976" s="1354"/>
      <c r="Z6976" s="1060"/>
    </row>
    <row r="6977" spans="25:26">
      <c r="Y6977" s="1354"/>
      <c r="Z6977" s="1060"/>
    </row>
    <row r="6978" spans="25:26">
      <c r="Y6978" s="1354"/>
      <c r="Z6978" s="1060"/>
    </row>
    <row r="6979" spans="25:26">
      <c r="Y6979" s="1354"/>
      <c r="Z6979" s="1060"/>
    </row>
    <row r="6980" spans="25:26">
      <c r="Y6980" s="1354"/>
      <c r="Z6980" s="1060"/>
    </row>
    <row r="6981" spans="25:26">
      <c r="Y6981" s="1354"/>
      <c r="Z6981" s="1060"/>
    </row>
    <row r="6982" spans="25:26">
      <c r="Y6982" s="1354"/>
      <c r="Z6982" s="1060"/>
    </row>
    <row r="6983" spans="25:26">
      <c r="Y6983" s="1354"/>
      <c r="Z6983" s="1060"/>
    </row>
    <row r="6984" spans="25:26">
      <c r="Y6984" s="1354"/>
      <c r="Z6984" s="1060"/>
    </row>
    <row r="6985" spans="25:26">
      <c r="Y6985" s="1354"/>
      <c r="Z6985" s="1060"/>
    </row>
    <row r="6986" spans="25:26">
      <c r="Y6986" s="1354"/>
      <c r="Z6986" s="1060"/>
    </row>
    <row r="6987" spans="25:26">
      <c r="Y6987" s="1354"/>
      <c r="Z6987" s="1060"/>
    </row>
    <row r="6988" spans="25:26">
      <c r="Y6988" s="1354"/>
      <c r="Z6988" s="1060"/>
    </row>
    <row r="6989" spans="25:26">
      <c r="Y6989" s="1354"/>
      <c r="Z6989" s="1060"/>
    </row>
    <row r="6990" spans="25:26">
      <c r="Y6990" s="1354"/>
      <c r="Z6990" s="1060"/>
    </row>
    <row r="6991" spans="25:26">
      <c r="Y6991" s="1354"/>
      <c r="Z6991" s="1060"/>
    </row>
    <row r="6992" spans="25:26">
      <c r="Y6992" s="1354"/>
      <c r="Z6992" s="1060"/>
    </row>
    <row r="6993" spans="25:26">
      <c r="Y6993" s="1354"/>
      <c r="Z6993" s="1060"/>
    </row>
    <row r="6994" spans="25:26">
      <c r="Y6994" s="1354"/>
      <c r="Z6994" s="1060"/>
    </row>
    <row r="6995" spans="25:26">
      <c r="Y6995" s="1354"/>
      <c r="Z6995" s="1060"/>
    </row>
    <row r="6996" spans="25:26">
      <c r="Y6996" s="1354"/>
      <c r="Z6996" s="1060"/>
    </row>
    <row r="6997" spans="25:26">
      <c r="Y6997" s="1354"/>
      <c r="Z6997" s="1060"/>
    </row>
    <row r="6998" spans="25:26">
      <c r="Y6998" s="1354"/>
      <c r="Z6998" s="1060"/>
    </row>
    <row r="6999" spans="25:26">
      <c r="Y6999" s="1354"/>
      <c r="Z6999" s="1060"/>
    </row>
    <row r="7000" spans="25:26">
      <c r="Y7000" s="1354"/>
      <c r="Z7000" s="1060"/>
    </row>
    <row r="7001" spans="25:26">
      <c r="Y7001" s="1354"/>
      <c r="Z7001" s="1060"/>
    </row>
    <row r="7002" spans="25:26">
      <c r="Y7002" s="1354"/>
      <c r="Z7002" s="1060"/>
    </row>
    <row r="7003" spans="25:26">
      <c r="Y7003" s="1354"/>
      <c r="Z7003" s="1060"/>
    </row>
    <row r="7004" spans="25:26">
      <c r="Y7004" s="1354"/>
      <c r="Z7004" s="1060"/>
    </row>
    <row r="7005" spans="25:26">
      <c r="Y7005" s="1354"/>
      <c r="Z7005" s="1060"/>
    </row>
    <row r="7006" spans="25:26">
      <c r="Y7006" s="1354"/>
      <c r="Z7006" s="1060"/>
    </row>
    <row r="7007" spans="25:26">
      <c r="Y7007" s="1354"/>
      <c r="Z7007" s="1060"/>
    </row>
    <row r="7008" spans="25:26">
      <c r="Y7008" s="1354"/>
      <c r="Z7008" s="1060"/>
    </row>
    <row r="7009" spans="25:26">
      <c r="Y7009" s="1354"/>
      <c r="Z7009" s="1060"/>
    </row>
    <row r="7010" spans="25:26">
      <c r="Y7010" s="1354"/>
      <c r="Z7010" s="1060"/>
    </row>
    <row r="7011" spans="25:26">
      <c r="Y7011" s="1354"/>
      <c r="Z7011" s="1060"/>
    </row>
    <row r="7012" spans="25:26">
      <c r="Y7012" s="1354"/>
      <c r="Z7012" s="1060"/>
    </row>
    <row r="7013" spans="25:26">
      <c r="Y7013" s="1354"/>
      <c r="Z7013" s="1060"/>
    </row>
    <row r="7014" spans="25:26">
      <c r="Y7014" s="1354"/>
      <c r="Z7014" s="1060"/>
    </row>
    <row r="7015" spans="25:26">
      <c r="Y7015" s="1354"/>
      <c r="Z7015" s="1060"/>
    </row>
    <row r="7016" spans="25:26">
      <c r="Y7016" s="1354"/>
      <c r="Z7016" s="1060"/>
    </row>
    <row r="7017" spans="25:26">
      <c r="Y7017" s="1354"/>
      <c r="Z7017" s="1060"/>
    </row>
    <row r="7018" spans="25:26">
      <c r="Y7018" s="1354"/>
      <c r="Z7018" s="1060"/>
    </row>
    <row r="7019" spans="25:26">
      <c r="Y7019" s="1354"/>
      <c r="Z7019" s="1060"/>
    </row>
    <row r="7020" spans="25:26">
      <c r="Y7020" s="1354"/>
      <c r="Z7020" s="1060"/>
    </row>
    <row r="7021" spans="25:26">
      <c r="Y7021" s="1354"/>
      <c r="Z7021" s="1060"/>
    </row>
    <row r="7022" spans="25:26">
      <c r="Y7022" s="1354"/>
      <c r="Z7022" s="1060"/>
    </row>
    <row r="7023" spans="25:26">
      <c r="Y7023" s="1354"/>
      <c r="Z7023" s="1060"/>
    </row>
    <row r="7024" spans="25:26">
      <c r="Y7024" s="1354"/>
      <c r="Z7024" s="1060"/>
    </row>
    <row r="7025" spans="25:26">
      <c r="Y7025" s="1354"/>
      <c r="Z7025" s="1060"/>
    </row>
    <row r="7026" spans="25:26">
      <c r="Y7026" s="1354"/>
      <c r="Z7026" s="1060"/>
    </row>
    <row r="7027" spans="25:26">
      <c r="Y7027" s="1354"/>
      <c r="Z7027" s="1060"/>
    </row>
    <row r="7028" spans="25:26">
      <c r="Y7028" s="1354"/>
      <c r="Z7028" s="1060"/>
    </row>
    <row r="7029" spans="25:26">
      <c r="Y7029" s="1354"/>
      <c r="Z7029" s="1060"/>
    </row>
    <row r="7030" spans="25:26">
      <c r="Y7030" s="1354"/>
      <c r="Z7030" s="1060"/>
    </row>
    <row r="7031" spans="25:26">
      <c r="Y7031" s="1354"/>
      <c r="Z7031" s="1060"/>
    </row>
    <row r="7032" spans="25:26">
      <c r="Y7032" s="1354"/>
      <c r="Z7032" s="1060"/>
    </row>
    <row r="7033" spans="25:26">
      <c r="Y7033" s="1354"/>
      <c r="Z7033" s="1060"/>
    </row>
    <row r="7034" spans="25:26">
      <c r="Y7034" s="1354"/>
      <c r="Z7034" s="1060"/>
    </row>
    <row r="7035" spans="25:26">
      <c r="Y7035" s="1354"/>
      <c r="Z7035" s="1060"/>
    </row>
    <row r="7036" spans="25:26">
      <c r="Y7036" s="1354"/>
      <c r="Z7036" s="1060"/>
    </row>
    <row r="7037" spans="25:26">
      <c r="Y7037" s="1354"/>
      <c r="Z7037" s="1060"/>
    </row>
    <row r="7038" spans="25:26">
      <c r="Y7038" s="1354"/>
      <c r="Z7038" s="1060"/>
    </row>
    <row r="7039" spans="25:26">
      <c r="Y7039" s="1354"/>
      <c r="Z7039" s="1060"/>
    </row>
    <row r="7040" spans="25:26">
      <c r="Y7040" s="1354"/>
      <c r="Z7040" s="1060"/>
    </row>
    <row r="7041" spans="25:26">
      <c r="Y7041" s="1354"/>
      <c r="Z7041" s="1060"/>
    </row>
    <row r="7042" spans="25:26">
      <c r="Y7042" s="1354"/>
      <c r="Z7042" s="1060"/>
    </row>
    <row r="7043" spans="25:26">
      <c r="Y7043" s="1354"/>
      <c r="Z7043" s="1060"/>
    </row>
    <row r="7044" spans="25:26">
      <c r="Y7044" s="1354"/>
      <c r="Z7044" s="1060"/>
    </row>
    <row r="7045" spans="25:26">
      <c r="Y7045" s="1354"/>
      <c r="Z7045" s="1060"/>
    </row>
    <row r="7046" spans="25:26">
      <c r="Y7046" s="1354"/>
      <c r="Z7046" s="1060"/>
    </row>
    <row r="7047" spans="25:26">
      <c r="Y7047" s="1354"/>
      <c r="Z7047" s="1060"/>
    </row>
    <row r="7048" spans="25:26">
      <c r="Y7048" s="1354"/>
      <c r="Z7048" s="1060"/>
    </row>
    <row r="7049" spans="25:26">
      <c r="Y7049" s="1354"/>
      <c r="Z7049" s="1060"/>
    </row>
    <row r="7050" spans="25:26">
      <c r="Y7050" s="1354"/>
      <c r="Z7050" s="1060"/>
    </row>
    <row r="7051" spans="25:26">
      <c r="Y7051" s="1354"/>
      <c r="Z7051" s="1060"/>
    </row>
    <row r="7052" spans="25:26">
      <c r="Y7052" s="1354"/>
      <c r="Z7052" s="1060"/>
    </row>
    <row r="7053" spans="25:26">
      <c r="Y7053" s="1354"/>
      <c r="Z7053" s="1060"/>
    </row>
    <row r="7054" spans="25:26">
      <c r="Y7054" s="1354"/>
      <c r="Z7054" s="1060"/>
    </row>
    <row r="7055" spans="25:26">
      <c r="Y7055" s="1354"/>
      <c r="Z7055" s="1060"/>
    </row>
    <row r="7056" spans="25:26">
      <c r="Y7056" s="1354"/>
      <c r="Z7056" s="1060"/>
    </row>
    <row r="7057" spans="25:26">
      <c r="Y7057" s="1354"/>
      <c r="Z7057" s="1060"/>
    </row>
    <row r="7058" spans="25:26">
      <c r="Y7058" s="1354"/>
      <c r="Z7058" s="1060"/>
    </row>
    <row r="7059" spans="25:26">
      <c r="Y7059" s="1354"/>
      <c r="Z7059" s="1060"/>
    </row>
    <row r="7060" spans="25:26">
      <c r="Y7060" s="1354"/>
      <c r="Z7060" s="1060"/>
    </row>
    <row r="7061" spans="25:26">
      <c r="Y7061" s="1354"/>
      <c r="Z7061" s="1060"/>
    </row>
    <row r="7062" spans="25:26">
      <c r="Y7062" s="1354"/>
      <c r="Z7062" s="1060"/>
    </row>
    <row r="7063" spans="25:26">
      <c r="Y7063" s="1354"/>
      <c r="Z7063" s="1060"/>
    </row>
    <row r="7064" spans="25:26">
      <c r="Y7064" s="1354"/>
      <c r="Z7064" s="1060"/>
    </row>
    <row r="7065" spans="25:26">
      <c r="Y7065" s="1354"/>
      <c r="Z7065" s="1060"/>
    </row>
    <row r="7066" spans="25:26">
      <c r="Y7066" s="1354"/>
      <c r="Z7066" s="1060"/>
    </row>
    <row r="7067" spans="25:26">
      <c r="Y7067" s="1354"/>
      <c r="Z7067" s="1060"/>
    </row>
    <row r="7068" spans="25:26">
      <c r="Y7068" s="1354"/>
      <c r="Z7068" s="1060"/>
    </row>
    <row r="7069" spans="25:26">
      <c r="Y7069" s="1354"/>
      <c r="Z7069" s="1060"/>
    </row>
    <row r="7070" spans="25:26">
      <c r="Y7070" s="1354"/>
      <c r="Z7070" s="1060"/>
    </row>
    <row r="7071" spans="25:26">
      <c r="Y7071" s="1354"/>
      <c r="Z7071" s="1060"/>
    </row>
    <row r="7072" spans="25:26">
      <c r="Y7072" s="1354"/>
      <c r="Z7072" s="1060"/>
    </row>
    <row r="7073" spans="25:26">
      <c r="Y7073" s="1354"/>
      <c r="Z7073" s="1060"/>
    </row>
    <row r="7074" spans="25:26">
      <c r="Y7074" s="1354"/>
      <c r="Z7074" s="1060"/>
    </row>
    <row r="7075" spans="25:26">
      <c r="Y7075" s="1354"/>
      <c r="Z7075" s="1060"/>
    </row>
    <row r="7076" spans="25:26">
      <c r="Y7076" s="1354"/>
      <c r="Z7076" s="1060"/>
    </row>
    <row r="7077" spans="25:26">
      <c r="Y7077" s="1354"/>
      <c r="Z7077" s="1060"/>
    </row>
    <row r="7078" spans="25:26">
      <c r="Y7078" s="1354"/>
      <c r="Z7078" s="1060"/>
    </row>
    <row r="7079" spans="25:26">
      <c r="Y7079" s="1354"/>
      <c r="Z7079" s="1060"/>
    </row>
    <row r="7080" spans="25:26">
      <c r="Y7080" s="1354"/>
      <c r="Z7080" s="1060"/>
    </row>
    <row r="7081" spans="25:26">
      <c r="Y7081" s="1354"/>
      <c r="Z7081" s="1060"/>
    </row>
    <row r="7082" spans="25:26">
      <c r="Y7082" s="1354"/>
      <c r="Z7082" s="1060"/>
    </row>
    <row r="7083" spans="25:26">
      <c r="Y7083" s="1354"/>
      <c r="Z7083" s="1060"/>
    </row>
    <row r="7084" spans="25:26">
      <c r="Y7084" s="1354"/>
      <c r="Z7084" s="1060"/>
    </row>
    <row r="7085" spans="25:26">
      <c r="Y7085" s="1354"/>
      <c r="Z7085" s="1060"/>
    </row>
    <row r="7086" spans="25:26">
      <c r="Y7086" s="1354"/>
      <c r="Z7086" s="1060"/>
    </row>
    <row r="7087" spans="25:26">
      <c r="Y7087" s="1354"/>
      <c r="Z7087" s="1060"/>
    </row>
    <row r="7088" spans="25:26">
      <c r="Y7088" s="1354"/>
      <c r="Z7088" s="1060"/>
    </row>
    <row r="7089" spans="25:26">
      <c r="Y7089" s="1354"/>
      <c r="Z7089" s="1060"/>
    </row>
    <row r="7090" spans="25:26">
      <c r="Y7090" s="1354"/>
      <c r="Z7090" s="1060"/>
    </row>
    <row r="7091" spans="25:26">
      <c r="Y7091" s="1354"/>
      <c r="Z7091" s="1060"/>
    </row>
    <row r="7092" spans="25:26">
      <c r="Y7092" s="1354"/>
      <c r="Z7092" s="1060"/>
    </row>
    <row r="7093" spans="25:26">
      <c r="Y7093" s="1354"/>
      <c r="Z7093" s="1060"/>
    </row>
    <row r="7094" spans="25:26">
      <c r="Y7094" s="1354"/>
      <c r="Z7094" s="1060"/>
    </row>
    <row r="7095" spans="25:26">
      <c r="Y7095" s="1354"/>
      <c r="Z7095" s="1060"/>
    </row>
    <row r="7096" spans="25:26">
      <c r="Y7096" s="1354"/>
      <c r="Z7096" s="1060"/>
    </row>
    <row r="7097" spans="25:26">
      <c r="Y7097" s="1354"/>
      <c r="Z7097" s="1060"/>
    </row>
    <row r="7098" spans="25:26">
      <c r="Y7098" s="1354"/>
      <c r="Z7098" s="1060"/>
    </row>
    <row r="7099" spans="25:26">
      <c r="Y7099" s="1354"/>
      <c r="Z7099" s="1060"/>
    </row>
    <row r="7100" spans="25:26">
      <c r="Y7100" s="1354"/>
      <c r="Z7100" s="1060"/>
    </row>
    <row r="7101" spans="25:26">
      <c r="Y7101" s="1354"/>
      <c r="Z7101" s="1060"/>
    </row>
    <row r="7102" spans="25:26">
      <c r="Y7102" s="1354"/>
      <c r="Z7102" s="1060"/>
    </row>
    <row r="7103" spans="25:26">
      <c r="Y7103" s="1354"/>
      <c r="Z7103" s="1060"/>
    </row>
    <row r="7104" spans="25:26">
      <c r="Y7104" s="1354"/>
      <c r="Z7104" s="1060"/>
    </row>
    <row r="7105" spans="25:26">
      <c r="Y7105" s="1354"/>
      <c r="Z7105" s="1060"/>
    </row>
    <row r="7106" spans="25:26">
      <c r="Y7106" s="1354"/>
      <c r="Z7106" s="1060"/>
    </row>
    <row r="7107" spans="25:26">
      <c r="Y7107" s="1354"/>
      <c r="Z7107" s="1060"/>
    </row>
    <row r="7108" spans="25:26">
      <c r="Y7108" s="1354"/>
      <c r="Z7108" s="1060"/>
    </row>
    <row r="7109" spans="25:26">
      <c r="Y7109" s="1354"/>
      <c r="Z7109" s="1060"/>
    </row>
    <row r="7110" spans="25:26">
      <c r="Y7110" s="1354"/>
      <c r="Z7110" s="1060"/>
    </row>
    <row r="7111" spans="25:26">
      <c r="Y7111" s="1354"/>
      <c r="Z7111" s="1060"/>
    </row>
    <row r="7112" spans="25:26">
      <c r="Y7112" s="1354"/>
      <c r="Z7112" s="1060"/>
    </row>
    <row r="7113" spans="25:26">
      <c r="Y7113" s="1354"/>
      <c r="Z7113" s="1060"/>
    </row>
    <row r="7114" spans="25:26">
      <c r="Y7114" s="1354"/>
      <c r="Z7114" s="1060"/>
    </row>
    <row r="7115" spans="25:26">
      <c r="Y7115" s="1354"/>
      <c r="Z7115" s="1060"/>
    </row>
    <row r="7116" spans="25:26">
      <c r="Y7116" s="1354"/>
      <c r="Z7116" s="1060"/>
    </row>
    <row r="7117" spans="25:26">
      <c r="Y7117" s="1354"/>
      <c r="Z7117" s="1060"/>
    </row>
    <row r="7118" spans="25:26">
      <c r="Y7118" s="1354"/>
      <c r="Z7118" s="1060"/>
    </row>
    <row r="7119" spans="25:26">
      <c r="Y7119" s="1354"/>
      <c r="Z7119" s="1060"/>
    </row>
    <row r="7120" spans="25:26">
      <c r="Y7120" s="1354"/>
      <c r="Z7120" s="1060"/>
    </row>
    <row r="7121" spans="25:26">
      <c r="Y7121" s="1354"/>
      <c r="Z7121" s="1060"/>
    </row>
    <row r="7122" spans="25:26">
      <c r="Y7122" s="1354"/>
      <c r="Z7122" s="1060"/>
    </row>
    <row r="7123" spans="25:26">
      <c r="Y7123" s="1354"/>
      <c r="Z7123" s="1060"/>
    </row>
    <row r="7124" spans="25:26">
      <c r="Y7124" s="1354"/>
      <c r="Z7124" s="1060"/>
    </row>
    <row r="7125" spans="25:26">
      <c r="Y7125" s="1354"/>
      <c r="Z7125" s="1060"/>
    </row>
    <row r="7126" spans="25:26">
      <c r="Y7126" s="1354"/>
      <c r="Z7126" s="1060"/>
    </row>
    <row r="7127" spans="25:26">
      <c r="Y7127" s="1354"/>
      <c r="Z7127" s="1060"/>
    </row>
    <row r="7128" spans="25:26">
      <c r="Y7128" s="1354"/>
      <c r="Z7128" s="1060"/>
    </row>
    <row r="7129" spans="25:26">
      <c r="Y7129" s="1354"/>
      <c r="Z7129" s="1060"/>
    </row>
    <row r="7130" spans="25:26">
      <c r="Y7130" s="1354"/>
      <c r="Z7130" s="1060"/>
    </row>
    <row r="7131" spans="25:26">
      <c r="Y7131" s="1354"/>
      <c r="Z7131" s="1060"/>
    </row>
    <row r="7132" spans="25:26">
      <c r="Y7132" s="1354"/>
      <c r="Z7132" s="1060"/>
    </row>
    <row r="7133" spans="25:26">
      <c r="Y7133" s="1354"/>
      <c r="Z7133" s="1060"/>
    </row>
    <row r="7134" spans="25:26">
      <c r="Y7134" s="1354"/>
      <c r="Z7134" s="1060"/>
    </row>
    <row r="7135" spans="25:26">
      <c r="Y7135" s="1354"/>
      <c r="Z7135" s="1060"/>
    </row>
    <row r="7136" spans="25:26">
      <c r="Y7136" s="1354"/>
      <c r="Z7136" s="1060"/>
    </row>
    <row r="7137" spans="25:26">
      <c r="Y7137" s="1354"/>
      <c r="Z7137" s="1060"/>
    </row>
    <row r="7138" spans="25:26">
      <c r="Y7138" s="1354"/>
      <c r="Z7138" s="1060"/>
    </row>
    <row r="7139" spans="25:26">
      <c r="Y7139" s="1354"/>
      <c r="Z7139" s="1060"/>
    </row>
    <row r="7140" spans="25:26">
      <c r="Y7140" s="1354"/>
      <c r="Z7140" s="1060"/>
    </row>
    <row r="7141" spans="25:26">
      <c r="Y7141" s="1354"/>
      <c r="Z7141" s="1060"/>
    </row>
    <row r="7142" spans="25:26">
      <c r="Y7142" s="1354"/>
      <c r="Z7142" s="1060"/>
    </row>
    <row r="7143" spans="25:26">
      <c r="Y7143" s="1354"/>
      <c r="Z7143" s="1060"/>
    </row>
    <row r="7144" spans="25:26">
      <c r="Y7144" s="1354"/>
      <c r="Z7144" s="1060"/>
    </row>
    <row r="7145" spans="25:26">
      <c r="Y7145" s="1354"/>
      <c r="Z7145" s="1060"/>
    </row>
    <row r="7146" spans="25:26">
      <c r="Y7146" s="1354"/>
      <c r="Z7146" s="1060"/>
    </row>
    <row r="7147" spans="25:26">
      <c r="Y7147" s="1354"/>
      <c r="Z7147" s="1060"/>
    </row>
    <row r="7148" spans="25:26">
      <c r="Y7148" s="1354"/>
      <c r="Z7148" s="1060"/>
    </row>
    <row r="7149" spans="25:26">
      <c r="Y7149" s="1354"/>
      <c r="Z7149" s="1060"/>
    </row>
    <row r="7150" spans="25:26">
      <c r="Y7150" s="1354"/>
      <c r="Z7150" s="1060"/>
    </row>
    <row r="7151" spans="25:26">
      <c r="Y7151" s="1354"/>
      <c r="Z7151" s="1060"/>
    </row>
    <row r="7152" spans="25:26">
      <c r="Y7152" s="1354"/>
      <c r="Z7152" s="1060"/>
    </row>
    <row r="7153" spans="25:26">
      <c r="Y7153" s="1354"/>
      <c r="Z7153" s="1060"/>
    </row>
    <row r="7154" spans="25:26">
      <c r="Y7154" s="1354"/>
      <c r="Z7154" s="1060"/>
    </row>
    <row r="7155" spans="25:26">
      <c r="Y7155" s="1354"/>
      <c r="Z7155" s="1060"/>
    </row>
    <row r="7156" spans="25:26">
      <c r="Y7156" s="1354"/>
      <c r="Z7156" s="1060"/>
    </row>
    <row r="7157" spans="25:26">
      <c r="Y7157" s="1354"/>
      <c r="Z7157" s="1060"/>
    </row>
    <row r="7158" spans="25:26">
      <c r="Y7158" s="1354"/>
      <c r="Z7158" s="1060"/>
    </row>
    <row r="7159" spans="25:26">
      <c r="Y7159" s="1354"/>
      <c r="Z7159" s="1060"/>
    </row>
    <row r="7160" spans="25:26">
      <c r="Y7160" s="1354"/>
      <c r="Z7160" s="1060"/>
    </row>
    <row r="7161" spans="25:26">
      <c r="Y7161" s="1354"/>
      <c r="Z7161" s="1060"/>
    </row>
    <row r="7162" spans="25:26">
      <c r="Y7162" s="1354"/>
      <c r="Z7162" s="1060"/>
    </row>
    <row r="7163" spans="25:26">
      <c r="Y7163" s="1354"/>
      <c r="Z7163" s="1060"/>
    </row>
    <row r="7164" spans="25:26">
      <c r="Y7164" s="1354"/>
      <c r="Z7164" s="1060"/>
    </row>
    <row r="7165" spans="25:26">
      <c r="Y7165" s="1354"/>
      <c r="Z7165" s="1060"/>
    </row>
    <row r="7166" spans="25:26">
      <c r="Y7166" s="1354"/>
      <c r="Z7166" s="1060"/>
    </row>
    <row r="7167" spans="25:26">
      <c r="Y7167" s="1354"/>
      <c r="Z7167" s="1060"/>
    </row>
    <row r="7168" spans="25:26">
      <c r="Y7168" s="1354"/>
      <c r="Z7168" s="1060"/>
    </row>
    <row r="7169" spans="25:26">
      <c r="Y7169" s="1354"/>
      <c r="Z7169" s="1060"/>
    </row>
    <row r="7170" spans="25:26">
      <c r="Y7170" s="1354"/>
      <c r="Z7170" s="1060"/>
    </row>
    <row r="7171" spans="25:26">
      <c r="Y7171" s="1354"/>
      <c r="Z7171" s="1060"/>
    </row>
    <row r="7172" spans="25:26">
      <c r="Y7172" s="1354"/>
      <c r="Z7172" s="1060"/>
    </row>
    <row r="7173" spans="25:26">
      <c r="Y7173" s="1354"/>
      <c r="Z7173" s="1060"/>
    </row>
    <row r="7174" spans="25:26">
      <c r="Y7174" s="1354"/>
      <c r="Z7174" s="1060"/>
    </row>
    <row r="7175" spans="25:26">
      <c r="Y7175" s="1354"/>
      <c r="Z7175" s="1060"/>
    </row>
    <row r="7176" spans="25:26">
      <c r="Y7176" s="1354"/>
      <c r="Z7176" s="1060"/>
    </row>
    <row r="7177" spans="25:26">
      <c r="Y7177" s="1354"/>
      <c r="Z7177" s="1060"/>
    </row>
    <row r="7178" spans="25:26">
      <c r="Y7178" s="1354"/>
      <c r="Z7178" s="1060"/>
    </row>
    <row r="7179" spans="25:26">
      <c r="Y7179" s="1354"/>
      <c r="Z7179" s="1060"/>
    </row>
    <row r="7180" spans="25:26">
      <c r="Y7180" s="1354"/>
      <c r="Z7180" s="1060"/>
    </row>
    <row r="7181" spans="25:26">
      <c r="Y7181" s="1354"/>
      <c r="Z7181" s="1060"/>
    </row>
    <row r="7182" spans="25:26">
      <c r="Y7182" s="1354"/>
      <c r="Z7182" s="1060"/>
    </row>
    <row r="7183" spans="25:26">
      <c r="Y7183" s="1354"/>
      <c r="Z7183" s="1060"/>
    </row>
    <row r="7184" spans="25:26">
      <c r="Y7184" s="1354"/>
      <c r="Z7184" s="1060"/>
    </row>
    <row r="7185" spans="25:26">
      <c r="Y7185" s="1354"/>
      <c r="Z7185" s="1060"/>
    </row>
    <row r="7186" spans="25:26">
      <c r="Y7186" s="1354"/>
      <c r="Z7186" s="1060"/>
    </row>
    <row r="7187" spans="25:26">
      <c r="Y7187" s="1354"/>
      <c r="Z7187" s="1060"/>
    </row>
    <row r="7188" spans="25:26">
      <c r="Y7188" s="1354"/>
      <c r="Z7188" s="1060"/>
    </row>
    <row r="7189" spans="25:26">
      <c r="Y7189" s="1354"/>
      <c r="Z7189" s="1060"/>
    </row>
    <row r="7190" spans="25:26">
      <c r="Y7190" s="1354"/>
      <c r="Z7190" s="1060"/>
    </row>
    <row r="7191" spans="25:26">
      <c r="Y7191" s="1354"/>
      <c r="Z7191" s="1060"/>
    </row>
    <row r="7192" spans="25:26">
      <c r="Y7192" s="1354"/>
      <c r="Z7192" s="1060"/>
    </row>
    <row r="7193" spans="25:26">
      <c r="Y7193" s="1354"/>
      <c r="Z7193" s="1060"/>
    </row>
    <row r="7194" spans="25:26">
      <c r="Y7194" s="1354"/>
      <c r="Z7194" s="1060"/>
    </row>
    <row r="7195" spans="25:26">
      <c r="Y7195" s="1354"/>
      <c r="Z7195" s="1060"/>
    </row>
    <row r="7196" spans="25:26">
      <c r="Y7196" s="1354"/>
      <c r="Z7196" s="1060"/>
    </row>
    <row r="7197" spans="25:26">
      <c r="Y7197" s="1354"/>
      <c r="Z7197" s="1060"/>
    </row>
    <row r="7198" spans="25:26">
      <c r="Y7198" s="1354"/>
      <c r="Z7198" s="1060"/>
    </row>
    <row r="7199" spans="25:26">
      <c r="Y7199" s="1354"/>
      <c r="Z7199" s="1060"/>
    </row>
    <row r="7200" spans="25:26">
      <c r="Y7200" s="1354"/>
      <c r="Z7200" s="1060"/>
    </row>
    <row r="7201" spans="25:26">
      <c r="Y7201" s="1354"/>
      <c r="Z7201" s="1060"/>
    </row>
    <row r="7202" spans="25:26">
      <c r="Y7202" s="1354"/>
      <c r="Z7202" s="1060"/>
    </row>
    <row r="7203" spans="25:26">
      <c r="Y7203" s="1354"/>
      <c r="Z7203" s="1060"/>
    </row>
    <row r="7204" spans="25:26">
      <c r="Y7204" s="1354"/>
      <c r="Z7204" s="1060"/>
    </row>
    <row r="7205" spans="25:26">
      <c r="Y7205" s="1354"/>
      <c r="Z7205" s="1060"/>
    </row>
    <row r="7206" spans="25:26">
      <c r="Y7206" s="1354"/>
      <c r="Z7206" s="1060"/>
    </row>
    <row r="7207" spans="25:26">
      <c r="Y7207" s="1354"/>
      <c r="Z7207" s="1060"/>
    </row>
    <row r="7208" spans="25:26">
      <c r="Y7208" s="1354"/>
      <c r="Z7208" s="1060"/>
    </row>
    <row r="7209" spans="25:26">
      <c r="Y7209" s="1354"/>
      <c r="Z7209" s="1060"/>
    </row>
    <row r="7210" spans="25:26">
      <c r="Y7210" s="1354"/>
      <c r="Z7210" s="1060"/>
    </row>
    <row r="7211" spans="25:26">
      <c r="Y7211" s="1354"/>
      <c r="Z7211" s="1060"/>
    </row>
    <row r="7212" spans="25:26">
      <c r="Y7212" s="1354"/>
      <c r="Z7212" s="1060"/>
    </row>
    <row r="7213" spans="25:26">
      <c r="Y7213" s="1354"/>
      <c r="Z7213" s="1060"/>
    </row>
    <row r="7214" spans="25:26">
      <c r="Y7214" s="1354"/>
      <c r="Z7214" s="1060"/>
    </row>
    <row r="7215" spans="25:26">
      <c r="Y7215" s="1354"/>
      <c r="Z7215" s="1060"/>
    </row>
    <row r="7216" spans="25:26">
      <c r="Y7216" s="1354"/>
      <c r="Z7216" s="1060"/>
    </row>
    <row r="7217" spans="25:26">
      <c r="Y7217" s="1354"/>
      <c r="Z7217" s="1060"/>
    </row>
    <row r="7218" spans="25:26">
      <c r="Y7218" s="1354"/>
      <c r="Z7218" s="1060"/>
    </row>
    <row r="7219" spans="25:26">
      <c r="Y7219" s="1354"/>
      <c r="Z7219" s="1060"/>
    </row>
    <row r="7220" spans="25:26">
      <c r="Y7220" s="1354"/>
      <c r="Z7220" s="1060"/>
    </row>
    <row r="7221" spans="25:26">
      <c r="Y7221" s="1354"/>
      <c r="Z7221" s="1060"/>
    </row>
    <row r="7222" spans="25:26">
      <c r="Y7222" s="1354"/>
      <c r="Z7222" s="1060"/>
    </row>
    <row r="7223" spans="25:26">
      <c r="Y7223" s="1354"/>
      <c r="Z7223" s="1060"/>
    </row>
    <row r="7224" spans="25:26">
      <c r="Y7224" s="1354"/>
      <c r="Z7224" s="1060"/>
    </row>
    <row r="7225" spans="25:26">
      <c r="Y7225" s="1354"/>
      <c r="Z7225" s="1060"/>
    </row>
    <row r="7226" spans="25:26">
      <c r="Y7226" s="1354"/>
      <c r="Z7226" s="1060"/>
    </row>
    <row r="7227" spans="25:26">
      <c r="Y7227" s="1354"/>
      <c r="Z7227" s="1060"/>
    </row>
    <row r="7228" spans="25:26">
      <c r="Y7228" s="1354"/>
      <c r="Z7228" s="1060"/>
    </row>
    <row r="7229" spans="25:26">
      <c r="Y7229" s="1354"/>
      <c r="Z7229" s="1060"/>
    </row>
    <row r="7230" spans="25:26">
      <c r="Y7230" s="1354"/>
      <c r="Z7230" s="1060"/>
    </row>
    <row r="7231" spans="25:26">
      <c r="Y7231" s="1354"/>
      <c r="Z7231" s="1060"/>
    </row>
    <row r="7232" spans="25:26">
      <c r="Y7232" s="1354"/>
      <c r="Z7232" s="1060"/>
    </row>
    <row r="7233" spans="25:26">
      <c r="Y7233" s="1354"/>
      <c r="Z7233" s="1060"/>
    </row>
    <row r="7234" spans="25:26">
      <c r="Y7234" s="1354"/>
      <c r="Z7234" s="1060"/>
    </row>
    <row r="7235" spans="25:26">
      <c r="Y7235" s="1354"/>
      <c r="Z7235" s="1060"/>
    </row>
    <row r="7236" spans="25:26">
      <c r="Y7236" s="1354"/>
      <c r="Z7236" s="1060"/>
    </row>
    <row r="7237" spans="25:26">
      <c r="Y7237" s="1354"/>
      <c r="Z7237" s="1060"/>
    </row>
    <row r="7238" spans="25:26">
      <c r="Y7238" s="1354"/>
      <c r="Z7238" s="1060"/>
    </row>
    <row r="7239" spans="25:26">
      <c r="Y7239" s="1354"/>
      <c r="Z7239" s="1060"/>
    </row>
    <row r="7240" spans="25:26">
      <c r="Y7240" s="1354"/>
      <c r="Z7240" s="1060"/>
    </row>
    <row r="7241" spans="25:26">
      <c r="Y7241" s="1354"/>
      <c r="Z7241" s="1060"/>
    </row>
    <row r="7242" spans="25:26">
      <c r="Y7242" s="1354"/>
      <c r="Z7242" s="1060"/>
    </row>
    <row r="7243" spans="25:26">
      <c r="Y7243" s="1354"/>
      <c r="Z7243" s="1060"/>
    </row>
    <row r="7244" spans="25:26">
      <c r="Y7244" s="1354"/>
      <c r="Z7244" s="1060"/>
    </row>
    <row r="7245" spans="25:26">
      <c r="Y7245" s="1354"/>
      <c r="Z7245" s="1060"/>
    </row>
    <row r="7246" spans="25:26">
      <c r="Y7246" s="1354"/>
      <c r="Z7246" s="1060"/>
    </row>
    <row r="7247" spans="25:26">
      <c r="Y7247" s="1354"/>
      <c r="Z7247" s="1060"/>
    </row>
    <row r="7248" spans="25:26">
      <c r="Y7248" s="1354"/>
      <c r="Z7248" s="1060"/>
    </row>
    <row r="7249" spans="25:26">
      <c r="Y7249" s="1354"/>
      <c r="Z7249" s="1060"/>
    </row>
    <row r="7250" spans="25:26">
      <c r="Y7250" s="1354"/>
      <c r="Z7250" s="1060"/>
    </row>
    <row r="7251" spans="25:26">
      <c r="Y7251" s="1354"/>
      <c r="Z7251" s="1060"/>
    </row>
    <row r="7252" spans="25:26">
      <c r="Y7252" s="1354"/>
      <c r="Z7252" s="1060"/>
    </row>
    <row r="7253" spans="25:26">
      <c r="Y7253" s="1354"/>
      <c r="Z7253" s="1060"/>
    </row>
    <row r="7254" spans="25:26">
      <c r="Y7254" s="1354"/>
      <c r="Z7254" s="1060"/>
    </row>
    <row r="7255" spans="25:26">
      <c r="Y7255" s="1354"/>
      <c r="Z7255" s="1060"/>
    </row>
    <row r="7256" spans="25:26">
      <c r="Y7256" s="1354"/>
      <c r="Z7256" s="1060"/>
    </row>
    <row r="7257" spans="25:26">
      <c r="Y7257" s="1354"/>
      <c r="Z7257" s="1060"/>
    </row>
    <row r="7258" spans="25:26">
      <c r="Y7258" s="1354"/>
      <c r="Z7258" s="1060"/>
    </row>
    <row r="7259" spans="25:26">
      <c r="Y7259" s="1354"/>
      <c r="Z7259" s="1060"/>
    </row>
    <row r="7260" spans="25:26">
      <c r="Y7260" s="1354"/>
      <c r="Z7260" s="1060"/>
    </row>
    <row r="7261" spans="25:26">
      <c r="Y7261" s="1354"/>
      <c r="Z7261" s="1060"/>
    </row>
    <row r="7262" spans="25:26">
      <c r="Y7262" s="1354"/>
      <c r="Z7262" s="1060"/>
    </row>
    <row r="7263" spans="25:26">
      <c r="Y7263" s="1354"/>
      <c r="Z7263" s="1060"/>
    </row>
    <row r="7264" spans="25:26">
      <c r="Y7264" s="1354"/>
      <c r="Z7264" s="1060"/>
    </row>
    <row r="7265" spans="25:26">
      <c r="Y7265" s="1354"/>
      <c r="Z7265" s="1060"/>
    </row>
    <row r="7266" spans="25:26">
      <c r="Y7266" s="1354"/>
      <c r="Z7266" s="1060"/>
    </row>
    <row r="7267" spans="25:26">
      <c r="Y7267" s="1354"/>
      <c r="Z7267" s="1060"/>
    </row>
    <row r="7268" spans="25:26">
      <c r="Y7268" s="1354"/>
      <c r="Z7268" s="1060"/>
    </row>
    <row r="7269" spans="25:26">
      <c r="Y7269" s="1354"/>
      <c r="Z7269" s="1060"/>
    </row>
    <row r="7270" spans="25:26">
      <c r="Y7270" s="1354"/>
      <c r="Z7270" s="1060"/>
    </row>
    <row r="7271" spans="25:26">
      <c r="Y7271" s="1354"/>
      <c r="Z7271" s="1060"/>
    </row>
    <row r="7272" spans="25:26">
      <c r="Y7272" s="1354"/>
      <c r="Z7272" s="1060"/>
    </row>
    <row r="7273" spans="25:26">
      <c r="Y7273" s="1354"/>
      <c r="Z7273" s="1060"/>
    </row>
    <row r="7274" spans="25:26">
      <c r="Y7274" s="1354"/>
      <c r="Z7274" s="1060"/>
    </row>
    <row r="7275" spans="25:26">
      <c r="Y7275" s="1354"/>
      <c r="Z7275" s="1060"/>
    </row>
    <row r="7276" spans="25:26">
      <c r="Y7276" s="1354"/>
      <c r="Z7276" s="1060"/>
    </row>
    <row r="7277" spans="25:26">
      <c r="Y7277" s="1354"/>
      <c r="Z7277" s="1060"/>
    </row>
    <row r="7278" spans="25:26">
      <c r="Y7278" s="1354"/>
      <c r="Z7278" s="1060"/>
    </row>
    <row r="7279" spans="25:26">
      <c r="Y7279" s="1354"/>
      <c r="Z7279" s="1060"/>
    </row>
    <row r="7280" spans="25:26">
      <c r="Y7280" s="1354"/>
      <c r="Z7280" s="1060"/>
    </row>
    <row r="7281" spans="25:26">
      <c r="Y7281" s="1354"/>
      <c r="Z7281" s="1060"/>
    </row>
    <row r="7282" spans="25:26">
      <c r="Y7282" s="1354"/>
      <c r="Z7282" s="1060"/>
    </row>
    <row r="7283" spans="25:26">
      <c r="Y7283" s="1354"/>
      <c r="Z7283" s="1060"/>
    </row>
    <row r="7284" spans="25:26">
      <c r="Y7284" s="1354"/>
      <c r="Z7284" s="1060"/>
    </row>
    <row r="7285" spans="25:26">
      <c r="Y7285" s="1354"/>
      <c r="Z7285" s="1060"/>
    </row>
    <row r="7286" spans="25:26">
      <c r="Y7286" s="1354"/>
      <c r="Z7286" s="1060"/>
    </row>
    <row r="7287" spans="25:26">
      <c r="Y7287" s="1354"/>
      <c r="Z7287" s="1060"/>
    </row>
    <row r="7288" spans="25:26">
      <c r="Y7288" s="1354"/>
      <c r="Z7288" s="1060"/>
    </row>
    <row r="7289" spans="25:26">
      <c r="Y7289" s="1354"/>
      <c r="Z7289" s="1060"/>
    </row>
    <row r="7290" spans="25:26">
      <c r="Y7290" s="1354"/>
      <c r="Z7290" s="1060"/>
    </row>
    <row r="7291" spans="25:26">
      <c r="Y7291" s="1354"/>
      <c r="Z7291" s="1060"/>
    </row>
    <row r="7292" spans="25:26">
      <c r="Y7292" s="1354"/>
      <c r="Z7292" s="1060"/>
    </row>
    <row r="7293" spans="25:26">
      <c r="Y7293" s="1354"/>
      <c r="Z7293" s="1060"/>
    </row>
    <row r="7294" spans="25:26">
      <c r="Y7294" s="1354"/>
      <c r="Z7294" s="1060"/>
    </row>
    <row r="7295" spans="25:26">
      <c r="Y7295" s="1354"/>
      <c r="Z7295" s="1060"/>
    </row>
    <row r="7296" spans="25:26">
      <c r="Y7296" s="1354"/>
      <c r="Z7296" s="1060"/>
    </row>
    <row r="7297" spans="25:26">
      <c r="Y7297" s="1354"/>
      <c r="Z7297" s="1060"/>
    </row>
    <row r="7298" spans="25:26">
      <c r="Y7298" s="1354"/>
      <c r="Z7298" s="1060"/>
    </row>
    <row r="7299" spans="25:26">
      <c r="Y7299" s="1354"/>
      <c r="Z7299" s="1060"/>
    </row>
    <row r="7300" spans="25:26">
      <c r="Y7300" s="1354"/>
      <c r="Z7300" s="1060"/>
    </row>
    <row r="7301" spans="25:26">
      <c r="Y7301" s="1354"/>
      <c r="Z7301" s="1060"/>
    </row>
    <row r="7302" spans="25:26">
      <c r="Y7302" s="1354"/>
      <c r="Z7302" s="1060"/>
    </row>
    <row r="7303" spans="25:26">
      <c r="Y7303" s="1354"/>
      <c r="Z7303" s="1060"/>
    </row>
    <row r="7304" spans="25:26">
      <c r="Y7304" s="1354"/>
      <c r="Z7304" s="1060"/>
    </row>
    <row r="7305" spans="25:26">
      <c r="Y7305" s="1354"/>
      <c r="Z7305" s="1060"/>
    </row>
    <row r="7306" spans="25:26">
      <c r="Y7306" s="1354"/>
      <c r="Z7306" s="1060"/>
    </row>
    <row r="7307" spans="25:26">
      <c r="Y7307" s="1354"/>
      <c r="Z7307" s="1060"/>
    </row>
    <row r="7308" spans="25:26">
      <c r="Y7308" s="1354"/>
      <c r="Z7308" s="1060"/>
    </row>
    <row r="7309" spans="25:26">
      <c r="Y7309" s="1354"/>
      <c r="Z7309" s="1060"/>
    </row>
    <row r="7310" spans="25:26">
      <c r="Y7310" s="1354"/>
      <c r="Z7310" s="1060"/>
    </row>
    <row r="7311" spans="25:26">
      <c r="Y7311" s="1354"/>
      <c r="Z7311" s="1060"/>
    </row>
    <row r="7312" spans="25:26">
      <c r="Y7312" s="1354"/>
      <c r="Z7312" s="1060"/>
    </row>
    <row r="7313" spans="25:26">
      <c r="Y7313" s="1354"/>
      <c r="Z7313" s="1060"/>
    </row>
    <row r="7314" spans="25:26">
      <c r="Y7314" s="1354"/>
      <c r="Z7314" s="1060"/>
    </row>
    <row r="7315" spans="25:26">
      <c r="Y7315" s="1354"/>
      <c r="Z7315" s="1060"/>
    </row>
    <row r="7316" spans="25:26">
      <c r="Y7316" s="1354"/>
      <c r="Z7316" s="1060"/>
    </row>
    <row r="7317" spans="25:26">
      <c r="Y7317" s="1354"/>
      <c r="Z7317" s="1060"/>
    </row>
    <row r="7318" spans="25:26">
      <c r="Y7318" s="1354"/>
      <c r="Z7318" s="1060"/>
    </row>
    <row r="7319" spans="25:26">
      <c r="Y7319" s="1354"/>
      <c r="Z7319" s="1060"/>
    </row>
    <row r="7320" spans="25:26">
      <c r="Y7320" s="1354"/>
      <c r="Z7320" s="1060"/>
    </row>
    <row r="7321" spans="25:26">
      <c r="Y7321" s="1354"/>
      <c r="Z7321" s="1060"/>
    </row>
    <row r="7322" spans="25:26">
      <c r="Y7322" s="1354"/>
      <c r="Z7322" s="1060"/>
    </row>
    <row r="7323" spans="25:26">
      <c r="Y7323" s="1354"/>
      <c r="Z7323" s="1060"/>
    </row>
    <row r="7324" spans="25:26">
      <c r="Y7324" s="1354"/>
      <c r="Z7324" s="1060"/>
    </row>
    <row r="7325" spans="25:26">
      <c r="Y7325" s="1354"/>
      <c r="Z7325" s="1060"/>
    </row>
    <row r="7326" spans="25:26">
      <c r="Y7326" s="1354"/>
      <c r="Z7326" s="1060"/>
    </row>
    <row r="7327" spans="25:26">
      <c r="Y7327" s="1354"/>
      <c r="Z7327" s="1060"/>
    </row>
    <row r="7328" spans="25:26">
      <c r="Y7328" s="1354"/>
      <c r="Z7328" s="1060"/>
    </row>
    <row r="7329" spans="25:26">
      <c r="Y7329" s="1354"/>
      <c r="Z7329" s="1060"/>
    </row>
    <row r="7330" spans="25:26">
      <c r="Y7330" s="1354"/>
      <c r="Z7330" s="1060"/>
    </row>
    <row r="7331" spans="25:26">
      <c r="Y7331" s="1354"/>
      <c r="Z7331" s="1060"/>
    </row>
    <row r="7332" spans="25:26">
      <c r="Y7332" s="1354"/>
      <c r="Z7332" s="1060"/>
    </row>
    <row r="7333" spans="25:26">
      <c r="Y7333" s="1354"/>
      <c r="Z7333" s="1060"/>
    </row>
    <row r="7334" spans="25:26">
      <c r="Y7334" s="1354"/>
      <c r="Z7334" s="1060"/>
    </row>
    <row r="7335" spans="25:26">
      <c r="Y7335" s="1354"/>
      <c r="Z7335" s="1060"/>
    </row>
    <row r="7336" spans="25:26">
      <c r="Y7336" s="1354"/>
      <c r="Z7336" s="1060"/>
    </row>
    <row r="7337" spans="25:26">
      <c r="Y7337" s="1354"/>
      <c r="Z7337" s="1060"/>
    </row>
    <row r="7338" spans="25:26">
      <c r="Y7338" s="1354"/>
      <c r="Z7338" s="1060"/>
    </row>
    <row r="7339" spans="25:26">
      <c r="Y7339" s="1354"/>
      <c r="Z7339" s="1060"/>
    </row>
    <row r="7340" spans="25:26">
      <c r="Y7340" s="1354"/>
      <c r="Z7340" s="1060"/>
    </row>
    <row r="7341" spans="25:26">
      <c r="Y7341" s="1354"/>
      <c r="Z7341" s="1060"/>
    </row>
    <row r="7342" spans="25:26">
      <c r="Y7342" s="1354"/>
      <c r="Z7342" s="1060"/>
    </row>
    <row r="7343" spans="25:26">
      <c r="Y7343" s="1354"/>
      <c r="Z7343" s="1060"/>
    </row>
    <row r="7344" spans="25:26">
      <c r="Y7344" s="1354"/>
      <c r="Z7344" s="1060"/>
    </row>
    <row r="7345" spans="25:26">
      <c r="Y7345" s="1354"/>
      <c r="Z7345" s="1060"/>
    </row>
    <row r="7346" spans="25:26">
      <c r="Y7346" s="1354"/>
      <c r="Z7346" s="1060"/>
    </row>
    <row r="7347" spans="25:26">
      <c r="Y7347" s="1354"/>
      <c r="Z7347" s="1060"/>
    </row>
    <row r="7348" spans="25:26">
      <c r="Y7348" s="1354"/>
      <c r="Z7348" s="1060"/>
    </row>
    <row r="7349" spans="25:26">
      <c r="Y7349" s="1354"/>
      <c r="Z7349" s="1060"/>
    </row>
    <row r="7350" spans="25:26">
      <c r="Y7350" s="1354"/>
      <c r="Z7350" s="1060"/>
    </row>
    <row r="7351" spans="25:26">
      <c r="Y7351" s="1354"/>
      <c r="Z7351" s="1060"/>
    </row>
    <row r="7352" spans="25:26">
      <c r="Y7352" s="1354"/>
      <c r="Z7352" s="1060"/>
    </row>
    <row r="7353" spans="25:26">
      <c r="Y7353" s="1354"/>
      <c r="Z7353" s="1060"/>
    </row>
    <row r="7354" spans="25:26">
      <c r="Y7354" s="1354"/>
      <c r="Z7354" s="1060"/>
    </row>
    <row r="7355" spans="25:26">
      <c r="Y7355" s="1354"/>
      <c r="Z7355" s="1060"/>
    </row>
    <row r="7356" spans="25:26">
      <c r="Y7356" s="1354"/>
      <c r="Z7356" s="1060"/>
    </row>
    <row r="7357" spans="25:26">
      <c r="Y7357" s="1354"/>
      <c r="Z7357" s="1060"/>
    </row>
    <row r="7358" spans="25:26">
      <c r="Y7358" s="1354"/>
      <c r="Z7358" s="1060"/>
    </row>
    <row r="7359" spans="25:26">
      <c r="Y7359" s="1354"/>
      <c r="Z7359" s="1060"/>
    </row>
    <row r="7360" spans="25:26">
      <c r="Y7360" s="1354"/>
      <c r="Z7360" s="1060"/>
    </row>
    <row r="7361" spans="25:26">
      <c r="Y7361" s="1354"/>
      <c r="Z7361" s="1060"/>
    </row>
    <row r="7362" spans="25:26">
      <c r="Y7362" s="1354"/>
      <c r="Z7362" s="1060"/>
    </row>
    <row r="7363" spans="25:26">
      <c r="Y7363" s="1354"/>
      <c r="Z7363" s="1060"/>
    </row>
    <row r="7364" spans="25:26">
      <c r="Y7364" s="1354"/>
      <c r="Z7364" s="1060"/>
    </row>
    <row r="7365" spans="25:26">
      <c r="Y7365" s="1354"/>
      <c r="Z7365" s="1060"/>
    </row>
    <row r="7366" spans="25:26">
      <c r="Y7366" s="1354"/>
      <c r="Z7366" s="1060"/>
    </row>
    <row r="7367" spans="25:26">
      <c r="Y7367" s="1354"/>
      <c r="Z7367" s="1060"/>
    </row>
    <row r="7368" spans="25:26">
      <c r="Y7368" s="1354"/>
      <c r="Z7368" s="1060"/>
    </row>
    <row r="7369" spans="25:26">
      <c r="Y7369" s="1354"/>
      <c r="Z7369" s="1060"/>
    </row>
    <row r="7370" spans="25:26">
      <c r="Y7370" s="1354"/>
      <c r="Z7370" s="1060"/>
    </row>
    <row r="7371" spans="25:26">
      <c r="Y7371" s="1354"/>
      <c r="Z7371" s="1060"/>
    </row>
    <row r="7372" spans="25:26">
      <c r="Y7372" s="1354"/>
      <c r="Z7372" s="1060"/>
    </row>
    <row r="7373" spans="25:26">
      <c r="Y7373" s="1354"/>
      <c r="Z7373" s="1060"/>
    </row>
    <row r="7374" spans="25:26">
      <c r="Y7374" s="1354"/>
      <c r="Z7374" s="1060"/>
    </row>
    <row r="7375" spans="25:26">
      <c r="Y7375" s="1354"/>
      <c r="Z7375" s="1060"/>
    </row>
    <row r="7376" spans="25:26">
      <c r="Y7376" s="1354"/>
      <c r="Z7376" s="1060"/>
    </row>
    <row r="7377" spans="25:26">
      <c r="Y7377" s="1354"/>
      <c r="Z7377" s="1060"/>
    </row>
    <row r="7378" spans="25:26">
      <c r="Y7378" s="1354"/>
      <c r="Z7378" s="1060"/>
    </row>
    <row r="7379" spans="25:26">
      <c r="Y7379" s="1354"/>
      <c r="Z7379" s="1060"/>
    </row>
    <row r="7380" spans="25:26">
      <c r="Y7380" s="1354"/>
      <c r="Z7380" s="1060"/>
    </row>
    <row r="7381" spans="25:26">
      <c r="Y7381" s="1354"/>
      <c r="Z7381" s="1060"/>
    </row>
    <row r="7382" spans="25:26">
      <c r="Y7382" s="1354"/>
      <c r="Z7382" s="1060"/>
    </row>
    <row r="7383" spans="25:26">
      <c r="Y7383" s="1354"/>
      <c r="Z7383" s="1060"/>
    </row>
    <row r="7384" spans="25:26">
      <c r="Y7384" s="1354"/>
      <c r="Z7384" s="1060"/>
    </row>
    <row r="7385" spans="25:26">
      <c r="Y7385" s="1354"/>
      <c r="Z7385" s="1060"/>
    </row>
    <row r="7386" spans="25:26">
      <c r="Y7386" s="1354"/>
      <c r="Z7386" s="1060"/>
    </row>
    <row r="7387" spans="25:26">
      <c r="Y7387" s="1354"/>
      <c r="Z7387" s="1060"/>
    </row>
    <row r="7388" spans="25:26">
      <c r="Y7388" s="1354"/>
      <c r="Z7388" s="1060"/>
    </row>
    <row r="7389" spans="25:26">
      <c r="Y7389" s="1354"/>
      <c r="Z7389" s="1060"/>
    </row>
    <row r="7390" spans="25:26">
      <c r="Y7390" s="1354"/>
      <c r="Z7390" s="1060"/>
    </row>
    <row r="7391" spans="25:26">
      <c r="Y7391" s="1354"/>
      <c r="Z7391" s="1060"/>
    </row>
    <row r="7392" spans="25:26">
      <c r="Y7392" s="1354"/>
      <c r="Z7392" s="1060"/>
    </row>
    <row r="7393" spans="25:26">
      <c r="Y7393" s="1354"/>
      <c r="Z7393" s="1060"/>
    </row>
    <row r="7394" spans="25:26">
      <c r="Y7394" s="1354"/>
      <c r="Z7394" s="1060"/>
    </row>
    <row r="7395" spans="25:26">
      <c r="Y7395" s="1354"/>
      <c r="Z7395" s="1060"/>
    </row>
    <row r="7396" spans="25:26">
      <c r="Y7396" s="1354"/>
      <c r="Z7396" s="1060"/>
    </row>
    <row r="7397" spans="25:26">
      <c r="Y7397" s="1354"/>
      <c r="Z7397" s="1060"/>
    </row>
    <row r="7398" spans="25:26">
      <c r="Y7398" s="1354"/>
      <c r="Z7398" s="1060"/>
    </row>
    <row r="7399" spans="25:26">
      <c r="Y7399" s="1354"/>
      <c r="Z7399" s="1060"/>
    </row>
    <row r="7400" spans="25:26">
      <c r="Y7400" s="1354"/>
      <c r="Z7400" s="1060"/>
    </row>
    <row r="7401" spans="25:26">
      <c r="Y7401" s="1354"/>
      <c r="Z7401" s="1060"/>
    </row>
    <row r="7402" spans="25:26">
      <c r="Y7402" s="1354"/>
      <c r="Z7402" s="1060"/>
    </row>
    <row r="7403" spans="25:26">
      <c r="Y7403" s="1354"/>
      <c r="Z7403" s="1060"/>
    </row>
    <row r="7404" spans="25:26">
      <c r="Y7404" s="1354"/>
      <c r="Z7404" s="1060"/>
    </row>
    <row r="7405" spans="25:26">
      <c r="Y7405" s="1354"/>
      <c r="Z7405" s="1060"/>
    </row>
    <row r="7406" spans="25:26">
      <c r="Y7406" s="1354"/>
      <c r="Z7406" s="1060"/>
    </row>
    <row r="7407" spans="25:26">
      <c r="Y7407" s="1354"/>
      <c r="Z7407" s="1060"/>
    </row>
    <row r="7408" spans="25:26">
      <c r="Y7408" s="1354"/>
      <c r="Z7408" s="1060"/>
    </row>
    <row r="7409" spans="25:26">
      <c r="Y7409" s="1354"/>
      <c r="Z7409" s="1060"/>
    </row>
    <row r="7410" spans="25:26">
      <c r="Y7410" s="1354"/>
      <c r="Z7410" s="1060"/>
    </row>
    <row r="7411" spans="25:26">
      <c r="Y7411" s="1354"/>
      <c r="Z7411" s="1060"/>
    </row>
    <row r="7412" spans="25:26">
      <c r="Y7412" s="1354"/>
      <c r="Z7412" s="1060"/>
    </row>
    <row r="7413" spans="25:26">
      <c r="Y7413" s="1354"/>
      <c r="Z7413" s="1060"/>
    </row>
    <row r="7414" spans="25:26">
      <c r="Y7414" s="1354"/>
      <c r="Z7414" s="1060"/>
    </row>
    <row r="7415" spans="25:26">
      <c r="Y7415" s="1354"/>
      <c r="Z7415" s="1060"/>
    </row>
    <row r="7416" spans="25:26">
      <c r="Y7416" s="1354"/>
      <c r="Z7416" s="1060"/>
    </row>
    <row r="7417" spans="25:26">
      <c r="Y7417" s="1354"/>
      <c r="Z7417" s="1060"/>
    </row>
    <row r="7418" spans="25:26">
      <c r="Y7418" s="1354"/>
      <c r="Z7418" s="1060"/>
    </row>
    <row r="7419" spans="25:26">
      <c r="Y7419" s="1354"/>
      <c r="Z7419" s="1060"/>
    </row>
    <row r="7420" spans="25:26">
      <c r="Y7420" s="1354"/>
      <c r="Z7420" s="1060"/>
    </row>
    <row r="7421" spans="25:26">
      <c r="Y7421" s="1354"/>
      <c r="Z7421" s="1060"/>
    </row>
    <row r="7422" spans="25:26">
      <c r="Y7422" s="1354"/>
      <c r="Z7422" s="1060"/>
    </row>
    <row r="7423" spans="25:26">
      <c r="Y7423" s="1354"/>
      <c r="Z7423" s="1060"/>
    </row>
    <row r="7424" spans="25:26">
      <c r="Y7424" s="1354"/>
      <c r="Z7424" s="1060"/>
    </row>
    <row r="7425" spans="25:26">
      <c r="Y7425" s="1354"/>
      <c r="Z7425" s="1060"/>
    </row>
    <row r="7426" spans="25:26">
      <c r="Y7426" s="1354"/>
      <c r="Z7426" s="1060"/>
    </row>
    <row r="7427" spans="25:26">
      <c r="Y7427" s="1354"/>
      <c r="Z7427" s="1060"/>
    </row>
    <row r="7428" spans="25:26">
      <c r="Y7428" s="1354"/>
      <c r="Z7428" s="1060"/>
    </row>
    <row r="7429" spans="25:26">
      <c r="Y7429" s="1354"/>
      <c r="Z7429" s="1060"/>
    </row>
    <row r="7430" spans="25:26">
      <c r="Y7430" s="1354"/>
      <c r="Z7430" s="1060"/>
    </row>
    <row r="7431" spans="25:26">
      <c r="Y7431" s="1354"/>
      <c r="Z7431" s="1060"/>
    </row>
    <row r="7432" spans="25:26">
      <c r="Y7432" s="1354"/>
      <c r="Z7432" s="1060"/>
    </row>
    <row r="7433" spans="25:26">
      <c r="Y7433" s="1354"/>
      <c r="Z7433" s="1060"/>
    </row>
    <row r="7434" spans="25:26">
      <c r="Y7434" s="1354"/>
      <c r="Z7434" s="1060"/>
    </row>
    <row r="7435" spans="25:26">
      <c r="Y7435" s="1354"/>
      <c r="Z7435" s="1060"/>
    </row>
    <row r="7436" spans="25:26">
      <c r="Y7436" s="1354"/>
      <c r="Z7436" s="1060"/>
    </row>
    <row r="7437" spans="25:26">
      <c r="Y7437" s="1354"/>
      <c r="Z7437" s="1060"/>
    </row>
    <row r="7438" spans="25:26">
      <c r="Y7438" s="1354"/>
      <c r="Z7438" s="1060"/>
    </row>
    <row r="7439" spans="25:26">
      <c r="Y7439" s="1354"/>
      <c r="Z7439" s="1060"/>
    </row>
    <row r="7440" spans="25:26">
      <c r="Y7440" s="1354"/>
      <c r="Z7440" s="1060"/>
    </row>
    <row r="7441" spans="25:26">
      <c r="Y7441" s="1354"/>
      <c r="Z7441" s="1060"/>
    </row>
    <row r="7442" spans="25:26">
      <c r="Y7442" s="1354"/>
      <c r="Z7442" s="1060"/>
    </row>
    <row r="7443" spans="25:26">
      <c r="Y7443" s="1354"/>
      <c r="Z7443" s="1060"/>
    </row>
    <row r="7444" spans="25:26">
      <c r="Y7444" s="1354"/>
      <c r="Z7444" s="1060"/>
    </row>
    <row r="7445" spans="25:26">
      <c r="Y7445" s="1354"/>
      <c r="Z7445" s="1060"/>
    </row>
    <row r="7446" spans="25:26">
      <c r="Y7446" s="1354"/>
      <c r="Z7446" s="1060"/>
    </row>
    <row r="7447" spans="25:26">
      <c r="Y7447" s="1354"/>
      <c r="Z7447" s="1060"/>
    </row>
    <row r="7448" spans="25:26">
      <c r="Y7448" s="1354"/>
      <c r="Z7448" s="1060"/>
    </row>
    <row r="7449" spans="25:26">
      <c r="Y7449" s="1354"/>
      <c r="Z7449" s="1060"/>
    </row>
    <row r="7450" spans="25:26">
      <c r="Y7450" s="1354"/>
      <c r="Z7450" s="1060"/>
    </row>
    <row r="7451" spans="25:26">
      <c r="Y7451" s="1354"/>
      <c r="Z7451" s="1060"/>
    </row>
    <row r="7452" spans="25:26">
      <c r="Y7452" s="1354"/>
      <c r="Z7452" s="1060"/>
    </row>
    <row r="7453" spans="25:26">
      <c r="Y7453" s="1354"/>
      <c r="Z7453" s="1060"/>
    </row>
    <row r="7454" spans="25:26">
      <c r="Y7454" s="1354"/>
      <c r="Z7454" s="1060"/>
    </row>
    <row r="7455" spans="25:26">
      <c r="Y7455" s="1354"/>
      <c r="Z7455" s="1060"/>
    </row>
    <row r="7456" spans="25:26">
      <c r="Y7456" s="1354"/>
      <c r="Z7456" s="1060"/>
    </row>
    <row r="7457" spans="25:26">
      <c r="Y7457" s="1354"/>
      <c r="Z7457" s="1060"/>
    </row>
    <row r="7458" spans="25:26">
      <c r="Y7458" s="1354"/>
      <c r="Z7458" s="1060"/>
    </row>
    <row r="7459" spans="25:26">
      <c r="Y7459" s="1354"/>
      <c r="Z7459" s="1060"/>
    </row>
    <row r="7460" spans="25:26">
      <c r="Y7460" s="1354"/>
      <c r="Z7460" s="1060"/>
    </row>
    <row r="7461" spans="25:26">
      <c r="Y7461" s="1354"/>
      <c r="Z7461" s="1060"/>
    </row>
    <row r="7462" spans="25:26">
      <c r="Y7462" s="1354"/>
      <c r="Z7462" s="1060"/>
    </row>
    <row r="7463" spans="25:26">
      <c r="Y7463" s="1354"/>
      <c r="Z7463" s="1060"/>
    </row>
    <row r="7464" spans="25:26">
      <c r="Y7464" s="1354"/>
      <c r="Z7464" s="1060"/>
    </row>
    <row r="7465" spans="25:26">
      <c r="Y7465" s="1354"/>
      <c r="Z7465" s="1060"/>
    </row>
    <row r="7466" spans="25:26">
      <c r="Y7466" s="1354"/>
      <c r="Z7466" s="1060"/>
    </row>
    <row r="7467" spans="25:26">
      <c r="Y7467" s="1354"/>
      <c r="Z7467" s="1060"/>
    </row>
    <row r="7468" spans="25:26">
      <c r="Y7468" s="1354"/>
      <c r="Z7468" s="1060"/>
    </row>
    <row r="7469" spans="25:26">
      <c r="Y7469" s="1354"/>
      <c r="Z7469" s="1060"/>
    </row>
    <row r="7470" spans="25:26">
      <c r="Y7470" s="1354"/>
      <c r="Z7470" s="1060"/>
    </row>
    <row r="7471" spans="25:26">
      <c r="Y7471" s="1354"/>
      <c r="Z7471" s="1060"/>
    </row>
    <row r="7472" spans="25:26">
      <c r="Y7472" s="1354"/>
      <c r="Z7472" s="1060"/>
    </row>
    <row r="7473" spans="25:26">
      <c r="Y7473" s="1354"/>
      <c r="Z7473" s="1060"/>
    </row>
    <row r="7474" spans="25:26">
      <c r="Y7474" s="1354"/>
      <c r="Z7474" s="1060"/>
    </row>
    <row r="7475" spans="25:26">
      <c r="Y7475" s="1354"/>
      <c r="Z7475" s="1060"/>
    </row>
    <row r="7476" spans="25:26">
      <c r="Y7476" s="1354"/>
      <c r="Z7476" s="1060"/>
    </row>
    <row r="7477" spans="25:26">
      <c r="Y7477" s="1354"/>
      <c r="Z7477" s="1060"/>
    </row>
    <row r="7478" spans="25:26">
      <c r="Y7478" s="1354"/>
      <c r="Z7478" s="1060"/>
    </row>
    <row r="7479" spans="25:26">
      <c r="Y7479" s="1354"/>
      <c r="Z7479" s="1060"/>
    </row>
    <row r="7480" spans="25:26">
      <c r="Y7480" s="1354"/>
      <c r="Z7480" s="1060"/>
    </row>
    <row r="7481" spans="25:26">
      <c r="Y7481" s="1354"/>
      <c r="Z7481" s="1060"/>
    </row>
    <row r="7482" spans="25:26">
      <c r="Y7482" s="1354"/>
      <c r="Z7482" s="1060"/>
    </row>
    <row r="7483" spans="25:26">
      <c r="Y7483" s="1354"/>
      <c r="Z7483" s="1060"/>
    </row>
    <row r="7484" spans="25:26">
      <c r="Y7484" s="1354"/>
      <c r="Z7484" s="1060"/>
    </row>
    <row r="7485" spans="25:26">
      <c r="Y7485" s="1354"/>
      <c r="Z7485" s="1060"/>
    </row>
    <row r="7486" spans="25:26">
      <c r="Y7486" s="1354"/>
      <c r="Z7486" s="1060"/>
    </row>
    <row r="7487" spans="25:26">
      <c r="Y7487" s="1354"/>
      <c r="Z7487" s="1060"/>
    </row>
    <row r="7488" spans="25:26">
      <c r="Y7488" s="1354"/>
      <c r="Z7488" s="1060"/>
    </row>
    <row r="7489" spans="25:26">
      <c r="Y7489" s="1354"/>
      <c r="Z7489" s="1060"/>
    </row>
    <row r="7490" spans="25:26">
      <c r="Y7490" s="1354"/>
      <c r="Z7490" s="1060"/>
    </row>
    <row r="7491" spans="25:26">
      <c r="Y7491" s="1354"/>
      <c r="Z7491" s="1060"/>
    </row>
    <row r="7492" spans="25:26">
      <c r="Y7492" s="1354"/>
      <c r="Z7492" s="1060"/>
    </row>
    <row r="7493" spans="25:26">
      <c r="Y7493" s="1354"/>
      <c r="Z7493" s="1060"/>
    </row>
    <row r="7494" spans="25:26">
      <c r="Y7494" s="1354"/>
      <c r="Z7494" s="1060"/>
    </row>
    <row r="7495" spans="25:26">
      <c r="Y7495" s="1354"/>
      <c r="Z7495" s="1060"/>
    </row>
    <row r="7496" spans="25:26">
      <c r="Y7496" s="1354"/>
      <c r="Z7496" s="1060"/>
    </row>
    <row r="7497" spans="25:26">
      <c r="Y7497" s="1354"/>
      <c r="Z7497" s="1060"/>
    </row>
    <row r="7498" spans="25:26">
      <c r="Y7498" s="1354"/>
      <c r="Z7498" s="1060"/>
    </row>
    <row r="7499" spans="25:26">
      <c r="Y7499" s="1354"/>
      <c r="Z7499" s="1060"/>
    </row>
    <row r="7500" spans="25:26">
      <c r="Y7500" s="1354"/>
      <c r="Z7500" s="1060"/>
    </row>
    <row r="7501" spans="25:26">
      <c r="Y7501" s="1354"/>
      <c r="Z7501" s="1060"/>
    </row>
    <row r="7502" spans="25:26">
      <c r="Y7502" s="1354"/>
      <c r="Z7502" s="1060"/>
    </row>
    <row r="7503" spans="25:26">
      <c r="Y7503" s="1354"/>
      <c r="Z7503" s="1060"/>
    </row>
    <row r="7504" spans="25:26">
      <c r="Y7504" s="1354"/>
      <c r="Z7504" s="1060"/>
    </row>
    <row r="7505" spans="25:26">
      <c r="Y7505" s="1354"/>
      <c r="Z7505" s="1060"/>
    </row>
    <row r="7506" spans="25:26">
      <c r="Y7506" s="1354"/>
      <c r="Z7506" s="1060"/>
    </row>
    <row r="7507" spans="25:26">
      <c r="Y7507" s="1354"/>
      <c r="Z7507" s="1060"/>
    </row>
    <row r="7508" spans="25:26">
      <c r="Y7508" s="1354"/>
      <c r="Z7508" s="1060"/>
    </row>
    <row r="7509" spans="25:26">
      <c r="Y7509" s="1354"/>
      <c r="Z7509" s="1060"/>
    </row>
    <row r="7510" spans="25:26">
      <c r="Y7510" s="1354"/>
      <c r="Z7510" s="1060"/>
    </row>
    <row r="7511" spans="25:26">
      <c r="Y7511" s="1354"/>
      <c r="Z7511" s="1060"/>
    </row>
    <row r="7512" spans="25:26">
      <c r="Y7512" s="1354"/>
      <c r="Z7512" s="1060"/>
    </row>
    <row r="7513" spans="25:26">
      <c r="Y7513" s="1354"/>
      <c r="Z7513" s="1060"/>
    </row>
    <row r="7514" spans="25:26">
      <c r="Y7514" s="1354"/>
      <c r="Z7514" s="1060"/>
    </row>
    <row r="7515" spans="25:26">
      <c r="Y7515" s="1354"/>
      <c r="Z7515" s="1060"/>
    </row>
    <row r="7516" spans="25:26">
      <c r="Y7516" s="1354"/>
      <c r="Z7516" s="1060"/>
    </row>
    <row r="7517" spans="25:26">
      <c r="Y7517" s="1354"/>
      <c r="Z7517" s="1060"/>
    </row>
    <row r="7518" spans="25:26">
      <c r="Y7518" s="1354"/>
      <c r="Z7518" s="1060"/>
    </row>
    <row r="7519" spans="25:26">
      <c r="Y7519" s="1354"/>
      <c r="Z7519" s="1060"/>
    </row>
    <row r="7520" spans="25:26">
      <c r="Y7520" s="1354"/>
      <c r="Z7520" s="1060"/>
    </row>
    <row r="7521" spans="25:26">
      <c r="Y7521" s="1354"/>
      <c r="Z7521" s="1060"/>
    </row>
    <row r="7522" spans="25:26">
      <c r="Y7522" s="1354"/>
      <c r="Z7522" s="1060"/>
    </row>
    <row r="7523" spans="25:26">
      <c r="Y7523" s="1354"/>
      <c r="Z7523" s="1060"/>
    </row>
    <row r="7524" spans="25:26">
      <c r="Y7524" s="1354"/>
      <c r="Z7524" s="1060"/>
    </row>
    <row r="7525" spans="25:26">
      <c r="Y7525" s="1354"/>
      <c r="Z7525" s="1060"/>
    </row>
    <row r="7526" spans="25:26">
      <c r="Y7526" s="1354"/>
      <c r="Z7526" s="1060"/>
    </row>
    <row r="7527" spans="25:26">
      <c r="Y7527" s="1354"/>
      <c r="Z7527" s="1060"/>
    </row>
    <row r="7528" spans="25:26">
      <c r="Y7528" s="1354"/>
      <c r="Z7528" s="1060"/>
    </row>
    <row r="7529" spans="25:26">
      <c r="Y7529" s="1354"/>
      <c r="Z7529" s="1060"/>
    </row>
    <row r="7530" spans="25:26">
      <c r="Y7530" s="1354"/>
      <c r="Z7530" s="1060"/>
    </row>
    <row r="7531" spans="25:26">
      <c r="Y7531" s="1354"/>
      <c r="Z7531" s="1060"/>
    </row>
    <row r="7532" spans="25:26">
      <c r="Y7532" s="1354"/>
      <c r="Z7532" s="1060"/>
    </row>
    <row r="7533" spans="25:26">
      <c r="Y7533" s="1354"/>
      <c r="Z7533" s="1060"/>
    </row>
    <row r="7534" spans="25:26">
      <c r="Y7534" s="1354"/>
      <c r="Z7534" s="1060"/>
    </row>
    <row r="7535" spans="25:26">
      <c r="Y7535" s="1354"/>
      <c r="Z7535" s="1060"/>
    </row>
    <row r="7536" spans="25:26">
      <c r="Y7536" s="1354"/>
      <c r="Z7536" s="1060"/>
    </row>
    <row r="7537" spans="25:26">
      <c r="Y7537" s="1354"/>
      <c r="Z7537" s="1060"/>
    </row>
    <row r="7538" spans="25:26">
      <c r="Y7538" s="1354"/>
      <c r="Z7538" s="1060"/>
    </row>
    <row r="7539" spans="25:26">
      <c r="Y7539" s="1354"/>
      <c r="Z7539" s="1060"/>
    </row>
    <row r="7540" spans="25:26">
      <c r="Y7540" s="1354"/>
      <c r="Z7540" s="1060"/>
    </row>
    <row r="7541" spans="25:26">
      <c r="Y7541" s="1354"/>
      <c r="Z7541" s="1060"/>
    </row>
    <row r="7542" spans="25:26">
      <c r="Y7542" s="1354"/>
      <c r="Z7542" s="1060"/>
    </row>
    <row r="7543" spans="25:26">
      <c r="Y7543" s="1354"/>
      <c r="Z7543" s="1060"/>
    </row>
    <row r="7544" spans="25:26">
      <c r="Y7544" s="1354"/>
      <c r="Z7544" s="1060"/>
    </row>
    <row r="7545" spans="25:26">
      <c r="Y7545" s="1354"/>
      <c r="Z7545" s="1060"/>
    </row>
    <row r="7546" spans="25:26">
      <c r="Y7546" s="1354"/>
      <c r="Z7546" s="1060"/>
    </row>
    <row r="7547" spans="25:26">
      <c r="Y7547" s="1354"/>
      <c r="Z7547" s="1060"/>
    </row>
    <row r="7548" spans="25:26">
      <c r="Y7548" s="1354"/>
      <c r="Z7548" s="1060"/>
    </row>
    <row r="7549" spans="25:26">
      <c r="Y7549" s="1354"/>
      <c r="Z7549" s="1060"/>
    </row>
    <row r="7550" spans="25:26">
      <c r="Y7550" s="1354"/>
      <c r="Z7550" s="1060"/>
    </row>
    <row r="7551" spans="25:26">
      <c r="Y7551" s="1354"/>
      <c r="Z7551" s="1060"/>
    </row>
    <row r="7552" spans="25:26">
      <c r="Y7552" s="1354"/>
      <c r="Z7552" s="1060"/>
    </row>
    <row r="7553" spans="25:26">
      <c r="Y7553" s="1354"/>
      <c r="Z7553" s="1060"/>
    </row>
    <row r="7554" spans="25:26">
      <c r="Y7554" s="1354"/>
      <c r="Z7554" s="1060"/>
    </row>
    <row r="7555" spans="25:26">
      <c r="Y7555" s="1354"/>
      <c r="Z7555" s="1060"/>
    </row>
    <row r="7556" spans="25:26">
      <c r="Y7556" s="1354"/>
      <c r="Z7556" s="1060"/>
    </row>
    <row r="7557" spans="25:26">
      <c r="Y7557" s="1354"/>
      <c r="Z7557" s="1060"/>
    </row>
    <row r="7558" spans="25:26">
      <c r="Y7558" s="1354"/>
      <c r="Z7558" s="1060"/>
    </row>
    <row r="7559" spans="25:26">
      <c r="Y7559" s="1354"/>
      <c r="Z7559" s="1060"/>
    </row>
    <row r="7560" spans="25:26">
      <c r="Y7560" s="1354"/>
      <c r="Z7560" s="1060"/>
    </row>
    <row r="7561" spans="25:26">
      <c r="Y7561" s="1354"/>
      <c r="Z7561" s="1060"/>
    </row>
    <row r="7562" spans="25:26">
      <c r="Y7562" s="1354"/>
      <c r="Z7562" s="1060"/>
    </row>
    <row r="7563" spans="25:26">
      <c r="Y7563" s="1354"/>
      <c r="Z7563" s="1060"/>
    </row>
    <row r="7564" spans="25:26">
      <c r="Y7564" s="1354"/>
      <c r="Z7564" s="1060"/>
    </row>
    <row r="7565" spans="25:26">
      <c r="Y7565" s="1354"/>
      <c r="Z7565" s="1060"/>
    </row>
    <row r="7566" spans="25:26">
      <c r="Y7566" s="1354"/>
      <c r="Z7566" s="1060"/>
    </row>
    <row r="7567" spans="25:26">
      <c r="Y7567" s="1354"/>
      <c r="Z7567" s="1060"/>
    </row>
    <row r="7568" spans="25:26">
      <c r="Y7568" s="1354"/>
      <c r="Z7568" s="1060"/>
    </row>
    <row r="7569" spans="25:26">
      <c r="Y7569" s="1354"/>
      <c r="Z7569" s="1060"/>
    </row>
    <row r="7570" spans="25:26">
      <c r="Y7570" s="1354"/>
      <c r="Z7570" s="1060"/>
    </row>
    <row r="7571" spans="25:26">
      <c r="Y7571" s="1354"/>
      <c r="Z7571" s="1060"/>
    </row>
    <row r="7572" spans="25:26">
      <c r="Y7572" s="1354"/>
      <c r="Z7572" s="1060"/>
    </row>
    <row r="7573" spans="25:26">
      <c r="Y7573" s="1354"/>
      <c r="Z7573" s="1060"/>
    </row>
    <row r="7574" spans="25:26">
      <c r="Y7574" s="1354"/>
      <c r="Z7574" s="1060"/>
    </row>
    <row r="7575" spans="25:26">
      <c r="Y7575" s="1354"/>
      <c r="Z7575" s="1060"/>
    </row>
    <row r="7576" spans="25:26">
      <c r="Y7576" s="1354"/>
      <c r="Z7576" s="1060"/>
    </row>
    <row r="7577" spans="25:26">
      <c r="Y7577" s="1354"/>
      <c r="Z7577" s="1060"/>
    </row>
    <row r="7578" spans="25:26">
      <c r="Y7578" s="1354"/>
      <c r="Z7578" s="1060"/>
    </row>
    <row r="7579" spans="25:26">
      <c r="Y7579" s="1354"/>
      <c r="Z7579" s="1060"/>
    </row>
    <row r="7580" spans="25:26">
      <c r="Y7580" s="1354"/>
      <c r="Z7580" s="1060"/>
    </row>
    <row r="7581" spans="25:26">
      <c r="Y7581" s="1354"/>
      <c r="Z7581" s="1060"/>
    </row>
    <row r="7582" spans="25:26">
      <c r="Y7582" s="1354"/>
      <c r="Z7582" s="1060"/>
    </row>
    <row r="7583" spans="25:26">
      <c r="Y7583" s="1354"/>
      <c r="Z7583" s="1060"/>
    </row>
    <row r="7584" spans="25:26">
      <c r="Y7584" s="1354"/>
      <c r="Z7584" s="1060"/>
    </row>
    <row r="7585" spans="25:26">
      <c r="Y7585" s="1354"/>
      <c r="Z7585" s="1060"/>
    </row>
    <row r="7586" spans="25:26">
      <c r="Y7586" s="1354"/>
      <c r="Z7586" s="1060"/>
    </row>
    <row r="7587" spans="25:26">
      <c r="Y7587" s="1354"/>
      <c r="Z7587" s="1060"/>
    </row>
    <row r="7588" spans="25:26">
      <c r="Y7588" s="1354"/>
      <c r="Z7588" s="1060"/>
    </row>
    <row r="7589" spans="25:26">
      <c r="Y7589" s="1354"/>
      <c r="Z7589" s="1060"/>
    </row>
    <row r="7590" spans="25:26">
      <c r="Y7590" s="1354"/>
      <c r="Z7590" s="1060"/>
    </row>
    <row r="7591" spans="25:26">
      <c r="Y7591" s="1354"/>
      <c r="Z7591" s="1060"/>
    </row>
    <row r="7592" spans="25:26">
      <c r="Y7592" s="1354"/>
      <c r="Z7592" s="1060"/>
    </row>
    <row r="7593" spans="25:26">
      <c r="Y7593" s="1354"/>
      <c r="Z7593" s="1060"/>
    </row>
    <row r="7594" spans="25:26">
      <c r="Y7594" s="1354"/>
      <c r="Z7594" s="1060"/>
    </row>
    <row r="7595" spans="25:26">
      <c r="Y7595" s="1354"/>
      <c r="Z7595" s="1060"/>
    </row>
    <row r="7596" spans="25:26">
      <c r="Y7596" s="1354"/>
      <c r="Z7596" s="1060"/>
    </row>
    <row r="7597" spans="25:26">
      <c r="Y7597" s="1354"/>
      <c r="Z7597" s="1060"/>
    </row>
    <row r="7598" spans="25:26">
      <c r="Y7598" s="1354"/>
      <c r="Z7598" s="1060"/>
    </row>
    <row r="7599" spans="25:26">
      <c r="Y7599" s="1354"/>
      <c r="Z7599" s="1060"/>
    </row>
    <row r="7600" spans="25:26">
      <c r="Y7600" s="1354"/>
      <c r="Z7600" s="1060"/>
    </row>
    <row r="7601" spans="25:26">
      <c r="Y7601" s="1354"/>
      <c r="Z7601" s="1060"/>
    </row>
    <row r="7602" spans="25:26">
      <c r="Y7602" s="1354"/>
      <c r="Z7602" s="1060"/>
    </row>
    <row r="7603" spans="25:26">
      <c r="Y7603" s="1354"/>
      <c r="Z7603" s="1060"/>
    </row>
    <row r="7604" spans="25:26">
      <c r="Y7604" s="1354"/>
      <c r="Z7604" s="1060"/>
    </row>
    <row r="7605" spans="25:26">
      <c r="Y7605" s="1354"/>
      <c r="Z7605" s="1060"/>
    </row>
    <row r="7606" spans="25:26">
      <c r="Y7606" s="1354"/>
      <c r="Z7606" s="1060"/>
    </row>
    <row r="7607" spans="25:26">
      <c r="Y7607" s="1354"/>
      <c r="Z7607" s="1060"/>
    </row>
    <row r="7608" spans="25:26">
      <c r="Y7608" s="1354"/>
      <c r="Z7608" s="1060"/>
    </row>
    <row r="7609" spans="25:26">
      <c r="Y7609" s="1354"/>
      <c r="Z7609" s="1060"/>
    </row>
    <row r="7610" spans="25:26">
      <c r="Y7610" s="1354"/>
      <c r="Z7610" s="1060"/>
    </row>
    <row r="7611" spans="25:26">
      <c r="Y7611" s="1354"/>
      <c r="Z7611" s="1060"/>
    </row>
    <row r="7612" spans="25:26">
      <c r="Y7612" s="1354"/>
      <c r="Z7612" s="1060"/>
    </row>
    <row r="7613" spans="25:26">
      <c r="Y7613" s="1354"/>
      <c r="Z7613" s="1060"/>
    </row>
    <row r="7614" spans="25:26">
      <c r="Y7614" s="1354"/>
      <c r="Z7614" s="1060"/>
    </row>
    <row r="7615" spans="25:26">
      <c r="Y7615" s="1354"/>
      <c r="Z7615" s="1060"/>
    </row>
    <row r="7616" spans="25:26">
      <c r="Y7616" s="1354"/>
      <c r="Z7616" s="1060"/>
    </row>
    <row r="7617" spans="25:26">
      <c r="Y7617" s="1354"/>
      <c r="Z7617" s="1060"/>
    </row>
    <row r="7618" spans="25:26">
      <c r="Y7618" s="1354"/>
      <c r="Z7618" s="1060"/>
    </row>
    <row r="7619" spans="25:26">
      <c r="Y7619" s="1354"/>
      <c r="Z7619" s="1060"/>
    </row>
    <row r="7620" spans="25:26">
      <c r="Y7620" s="1354"/>
      <c r="Z7620" s="1060"/>
    </row>
    <row r="7621" spans="25:26">
      <c r="Y7621" s="1354"/>
      <c r="Z7621" s="1060"/>
    </row>
    <row r="7622" spans="25:26">
      <c r="Y7622" s="1354"/>
      <c r="Z7622" s="1060"/>
    </row>
    <row r="7623" spans="25:26">
      <c r="Y7623" s="1354"/>
      <c r="Z7623" s="1060"/>
    </row>
    <row r="7624" spans="25:26">
      <c r="Y7624" s="1354"/>
      <c r="Z7624" s="1060"/>
    </row>
    <row r="7625" spans="25:26">
      <c r="Y7625" s="1354"/>
      <c r="Z7625" s="1060"/>
    </row>
    <row r="7626" spans="25:26">
      <c r="Y7626" s="1354"/>
      <c r="Z7626" s="1060"/>
    </row>
    <row r="7627" spans="25:26">
      <c r="Y7627" s="1354"/>
      <c r="Z7627" s="1060"/>
    </row>
    <row r="7628" spans="25:26">
      <c r="Y7628" s="1354"/>
      <c r="Z7628" s="1060"/>
    </row>
    <row r="7629" spans="25:26">
      <c r="Y7629" s="1354"/>
      <c r="Z7629" s="1060"/>
    </row>
    <row r="7630" spans="25:26">
      <c r="Y7630" s="1354"/>
      <c r="Z7630" s="1060"/>
    </row>
    <row r="7631" spans="25:26">
      <c r="Y7631" s="1354"/>
      <c r="Z7631" s="1060"/>
    </row>
    <row r="7632" spans="25:26">
      <c r="Y7632" s="1354"/>
      <c r="Z7632" s="1060"/>
    </row>
    <row r="7633" spans="25:26">
      <c r="Y7633" s="1354"/>
      <c r="Z7633" s="1060"/>
    </row>
    <row r="7634" spans="25:26">
      <c r="Y7634" s="1354"/>
      <c r="Z7634" s="1060"/>
    </row>
    <row r="7635" spans="25:26">
      <c r="Y7635" s="1354"/>
      <c r="Z7635" s="1060"/>
    </row>
    <row r="7636" spans="25:26">
      <c r="Y7636" s="1354"/>
      <c r="Z7636" s="1060"/>
    </row>
    <row r="7637" spans="25:26">
      <c r="Y7637" s="1354"/>
      <c r="Z7637" s="1060"/>
    </row>
    <row r="7638" spans="25:26">
      <c r="Y7638" s="1354"/>
      <c r="Z7638" s="1060"/>
    </row>
    <row r="7639" spans="25:26">
      <c r="Y7639" s="1354"/>
      <c r="Z7639" s="1060"/>
    </row>
    <row r="7640" spans="25:26">
      <c r="Y7640" s="1354"/>
      <c r="Z7640" s="1060"/>
    </row>
    <row r="7641" spans="25:26">
      <c r="Y7641" s="1354"/>
      <c r="Z7641" s="1060"/>
    </row>
    <row r="7642" spans="25:26">
      <c r="Y7642" s="1354"/>
      <c r="Z7642" s="1060"/>
    </row>
    <row r="7643" spans="25:26">
      <c r="Y7643" s="1354"/>
      <c r="Z7643" s="1060"/>
    </row>
    <row r="7644" spans="25:26">
      <c r="Y7644" s="1354"/>
      <c r="Z7644" s="1060"/>
    </row>
    <row r="7645" spans="25:26">
      <c r="Y7645" s="1354"/>
      <c r="Z7645" s="1060"/>
    </row>
    <row r="7646" spans="25:26">
      <c r="Y7646" s="1354"/>
      <c r="Z7646" s="1060"/>
    </row>
    <row r="7647" spans="25:26">
      <c r="Y7647" s="1354"/>
      <c r="Z7647" s="1060"/>
    </row>
    <row r="7648" spans="25:26">
      <c r="Y7648" s="1354"/>
      <c r="Z7648" s="1060"/>
    </row>
    <row r="7649" spans="25:26">
      <c r="Y7649" s="1354"/>
      <c r="Z7649" s="1060"/>
    </row>
    <row r="7650" spans="25:26">
      <c r="Y7650" s="1354"/>
      <c r="Z7650" s="1060"/>
    </row>
    <row r="7651" spans="25:26">
      <c r="Y7651" s="1354"/>
      <c r="Z7651" s="1060"/>
    </row>
    <row r="7652" spans="25:26">
      <c r="Y7652" s="1354"/>
      <c r="Z7652" s="1060"/>
    </row>
    <row r="7653" spans="25:26">
      <c r="Y7653" s="1354"/>
      <c r="Z7653" s="1060"/>
    </row>
    <row r="7654" spans="25:26">
      <c r="Y7654" s="1354"/>
      <c r="Z7654" s="1060"/>
    </row>
    <row r="7655" spans="25:26">
      <c r="Y7655" s="1354"/>
      <c r="Z7655" s="1060"/>
    </row>
    <row r="7656" spans="25:26">
      <c r="Y7656" s="1354"/>
      <c r="Z7656" s="1060"/>
    </row>
    <row r="7657" spans="25:26">
      <c r="Y7657" s="1354"/>
      <c r="Z7657" s="1060"/>
    </row>
    <row r="7658" spans="25:26">
      <c r="Y7658" s="1354"/>
      <c r="Z7658" s="1060"/>
    </row>
    <row r="7659" spans="25:26">
      <c r="Y7659" s="1354"/>
      <c r="Z7659" s="1060"/>
    </row>
    <row r="7660" spans="25:26">
      <c r="Y7660" s="1354"/>
      <c r="Z7660" s="1060"/>
    </row>
    <row r="7661" spans="25:26">
      <c r="Y7661" s="1354"/>
      <c r="Z7661" s="1060"/>
    </row>
    <row r="7662" spans="25:26">
      <c r="Y7662" s="1354"/>
      <c r="Z7662" s="1060"/>
    </row>
    <row r="7663" spans="25:26">
      <c r="Y7663" s="1354"/>
      <c r="Z7663" s="1060"/>
    </row>
    <row r="7664" spans="25:26">
      <c r="Y7664" s="1354"/>
      <c r="Z7664" s="1060"/>
    </row>
    <row r="7665" spans="25:26">
      <c r="Y7665" s="1354"/>
      <c r="Z7665" s="1060"/>
    </row>
    <row r="7666" spans="25:26">
      <c r="Y7666" s="1354"/>
      <c r="Z7666" s="1060"/>
    </row>
    <row r="7667" spans="25:26">
      <c r="Y7667" s="1354"/>
      <c r="Z7667" s="1060"/>
    </row>
    <row r="7668" spans="25:26">
      <c r="Y7668" s="1354"/>
      <c r="Z7668" s="1060"/>
    </row>
    <row r="7669" spans="25:26">
      <c r="Y7669" s="1354"/>
      <c r="Z7669" s="1060"/>
    </row>
    <row r="7670" spans="25:26">
      <c r="Y7670" s="1354"/>
      <c r="Z7670" s="1060"/>
    </row>
    <row r="7671" spans="25:26">
      <c r="Y7671" s="1354"/>
      <c r="Z7671" s="1060"/>
    </row>
    <row r="7672" spans="25:26">
      <c r="Y7672" s="1354"/>
      <c r="Z7672" s="1060"/>
    </row>
    <row r="7673" spans="25:26">
      <c r="Y7673" s="1354"/>
      <c r="Z7673" s="1060"/>
    </row>
    <row r="7674" spans="25:26">
      <c r="Y7674" s="1354"/>
      <c r="Z7674" s="1060"/>
    </row>
    <row r="7675" spans="25:26">
      <c r="Y7675" s="1354"/>
      <c r="Z7675" s="1060"/>
    </row>
    <row r="7676" spans="25:26">
      <c r="Y7676" s="1354"/>
      <c r="Z7676" s="1060"/>
    </row>
    <row r="7677" spans="25:26">
      <c r="Y7677" s="1354"/>
      <c r="Z7677" s="1060"/>
    </row>
    <row r="7678" spans="25:26">
      <c r="Y7678" s="1354"/>
      <c r="Z7678" s="1060"/>
    </row>
    <row r="7679" spans="25:26">
      <c r="Y7679" s="1354"/>
      <c r="Z7679" s="1060"/>
    </row>
    <row r="7680" spans="25:26">
      <c r="Y7680" s="1354"/>
      <c r="Z7680" s="1060"/>
    </row>
    <row r="7681" spans="25:26">
      <c r="Y7681" s="1354"/>
      <c r="Z7681" s="1060"/>
    </row>
    <row r="7682" spans="25:26">
      <c r="Y7682" s="1354"/>
      <c r="Z7682" s="1060"/>
    </row>
    <row r="7683" spans="25:26">
      <c r="Y7683" s="1354"/>
      <c r="Z7683" s="1060"/>
    </row>
    <row r="7684" spans="25:26">
      <c r="Y7684" s="1354"/>
      <c r="Z7684" s="1060"/>
    </row>
    <row r="7685" spans="25:26">
      <c r="Y7685" s="1354"/>
      <c r="Z7685" s="1060"/>
    </row>
    <row r="7686" spans="25:26">
      <c r="Y7686" s="1354"/>
      <c r="Z7686" s="1060"/>
    </row>
    <row r="7687" spans="25:26">
      <c r="Y7687" s="1354"/>
      <c r="Z7687" s="1060"/>
    </row>
    <row r="7688" spans="25:26">
      <c r="Y7688" s="1354"/>
      <c r="Z7688" s="1060"/>
    </row>
    <row r="7689" spans="25:26">
      <c r="Y7689" s="1354"/>
      <c r="Z7689" s="1060"/>
    </row>
    <row r="7690" spans="25:26">
      <c r="Y7690" s="1354"/>
      <c r="Z7690" s="1060"/>
    </row>
    <row r="7691" spans="25:26">
      <c r="Y7691" s="1354"/>
      <c r="Z7691" s="1060"/>
    </row>
    <row r="7692" spans="25:26">
      <c r="Y7692" s="1354"/>
      <c r="Z7692" s="1060"/>
    </row>
    <row r="7693" spans="25:26">
      <c r="Y7693" s="1354"/>
      <c r="Z7693" s="1060"/>
    </row>
    <row r="7694" spans="25:26">
      <c r="Y7694" s="1354"/>
      <c r="Z7694" s="1060"/>
    </row>
    <row r="7695" spans="25:26">
      <c r="Y7695" s="1354"/>
      <c r="Z7695" s="1060"/>
    </row>
    <row r="7696" spans="25:26">
      <c r="Y7696" s="1354"/>
      <c r="Z7696" s="1060"/>
    </row>
    <row r="7697" spans="25:26">
      <c r="Y7697" s="1354"/>
      <c r="Z7697" s="1060"/>
    </row>
    <row r="7698" spans="25:26">
      <c r="Y7698" s="1354"/>
      <c r="Z7698" s="1060"/>
    </row>
    <row r="7699" spans="25:26">
      <c r="Y7699" s="1354"/>
      <c r="Z7699" s="1060"/>
    </row>
    <row r="7700" spans="25:26">
      <c r="Y7700" s="1354"/>
      <c r="Z7700" s="1060"/>
    </row>
    <row r="7701" spans="25:26">
      <c r="Y7701" s="1354"/>
      <c r="Z7701" s="1060"/>
    </row>
    <row r="7702" spans="25:26">
      <c r="Y7702" s="1354"/>
      <c r="Z7702" s="1060"/>
    </row>
    <row r="7703" spans="25:26">
      <c r="Y7703" s="1354"/>
      <c r="Z7703" s="1060"/>
    </row>
    <row r="7704" spans="25:26">
      <c r="Y7704" s="1354"/>
      <c r="Z7704" s="1060"/>
    </row>
    <row r="7705" spans="25:26">
      <c r="Y7705" s="1354"/>
      <c r="Z7705" s="1060"/>
    </row>
    <row r="7706" spans="25:26">
      <c r="Y7706" s="1354"/>
      <c r="Z7706" s="1060"/>
    </row>
    <row r="7707" spans="25:26">
      <c r="Y7707" s="1354"/>
      <c r="Z7707" s="1060"/>
    </row>
    <row r="7708" spans="25:26">
      <c r="Y7708" s="1354"/>
      <c r="Z7708" s="1060"/>
    </row>
    <row r="7709" spans="25:26">
      <c r="Y7709" s="1354"/>
      <c r="Z7709" s="1060"/>
    </row>
    <row r="7710" spans="25:26">
      <c r="Y7710" s="1354"/>
      <c r="Z7710" s="1060"/>
    </row>
    <row r="7711" spans="25:26">
      <c r="Y7711" s="1354"/>
      <c r="Z7711" s="1060"/>
    </row>
    <row r="7712" spans="25:26">
      <c r="Y7712" s="1354"/>
      <c r="Z7712" s="1060"/>
    </row>
    <row r="7713" spans="25:26">
      <c r="Y7713" s="1354"/>
      <c r="Z7713" s="1060"/>
    </row>
    <row r="7714" spans="25:26">
      <c r="Y7714" s="1354"/>
      <c r="Z7714" s="1060"/>
    </row>
    <row r="7715" spans="25:26">
      <c r="Y7715" s="1354"/>
      <c r="Z7715" s="1060"/>
    </row>
    <row r="7716" spans="25:26">
      <c r="Y7716" s="1354"/>
      <c r="Z7716" s="1060"/>
    </row>
    <row r="7717" spans="25:26">
      <c r="Y7717" s="1354"/>
      <c r="Z7717" s="1060"/>
    </row>
    <row r="7718" spans="25:26">
      <c r="Y7718" s="1354"/>
      <c r="Z7718" s="1060"/>
    </row>
    <row r="7719" spans="25:26">
      <c r="Y7719" s="1354"/>
      <c r="Z7719" s="1060"/>
    </row>
    <row r="7720" spans="25:26">
      <c r="Y7720" s="1354"/>
      <c r="Z7720" s="1060"/>
    </row>
    <row r="7721" spans="25:26">
      <c r="Y7721" s="1354"/>
      <c r="Z7721" s="1060"/>
    </row>
    <row r="7722" spans="25:26">
      <c r="Y7722" s="1354"/>
      <c r="Z7722" s="1060"/>
    </row>
    <row r="7723" spans="25:26">
      <c r="Y7723" s="1354"/>
      <c r="Z7723" s="1060"/>
    </row>
    <row r="7724" spans="25:26">
      <c r="Y7724" s="1354"/>
      <c r="Z7724" s="1060"/>
    </row>
    <row r="7725" spans="25:26">
      <c r="Y7725" s="1354"/>
      <c r="Z7725" s="1060"/>
    </row>
    <row r="7726" spans="25:26">
      <c r="Y7726" s="1354"/>
      <c r="Z7726" s="1060"/>
    </row>
    <row r="7727" spans="25:26">
      <c r="Y7727" s="1354"/>
      <c r="Z7727" s="1060"/>
    </row>
    <row r="7728" spans="25:26">
      <c r="Y7728" s="1354"/>
      <c r="Z7728" s="1060"/>
    </row>
    <row r="7729" spans="25:26">
      <c r="Y7729" s="1354"/>
      <c r="Z7729" s="1060"/>
    </row>
    <row r="7730" spans="25:26">
      <c r="Y7730" s="1354"/>
      <c r="Z7730" s="1060"/>
    </row>
    <row r="7731" spans="25:26">
      <c r="Y7731" s="1354"/>
      <c r="Z7731" s="1060"/>
    </row>
    <row r="7732" spans="25:26">
      <c r="Y7732" s="1354"/>
      <c r="Z7732" s="1060"/>
    </row>
    <row r="7733" spans="25:26">
      <c r="Y7733" s="1354"/>
      <c r="Z7733" s="1060"/>
    </row>
    <row r="7734" spans="25:26">
      <c r="Y7734" s="1354"/>
      <c r="Z7734" s="1060"/>
    </row>
    <row r="7735" spans="25:26">
      <c r="Y7735" s="1354"/>
      <c r="Z7735" s="1060"/>
    </row>
    <row r="7736" spans="25:26">
      <c r="Y7736" s="1354"/>
      <c r="Z7736" s="1060"/>
    </row>
    <row r="7737" spans="25:26">
      <c r="Y7737" s="1354"/>
      <c r="Z7737" s="1060"/>
    </row>
    <row r="7738" spans="25:26">
      <c r="Y7738" s="1354"/>
      <c r="Z7738" s="1060"/>
    </row>
    <row r="7739" spans="25:26">
      <c r="Y7739" s="1354"/>
      <c r="Z7739" s="1060"/>
    </row>
    <row r="7740" spans="25:26">
      <c r="Y7740" s="1354"/>
      <c r="Z7740" s="1060"/>
    </row>
    <row r="7741" spans="25:26">
      <c r="Y7741" s="1354"/>
      <c r="Z7741" s="1060"/>
    </row>
    <row r="7742" spans="25:26">
      <c r="Y7742" s="1354"/>
      <c r="Z7742" s="1060"/>
    </row>
    <row r="7743" spans="25:26">
      <c r="Y7743" s="1354"/>
      <c r="Z7743" s="1060"/>
    </row>
    <row r="7744" spans="25:26">
      <c r="Y7744" s="1354"/>
      <c r="Z7744" s="1060"/>
    </row>
    <row r="7745" spans="25:26">
      <c r="Y7745" s="1354"/>
      <c r="Z7745" s="1060"/>
    </row>
    <row r="7746" spans="25:26">
      <c r="Y7746" s="1354"/>
      <c r="Z7746" s="1060"/>
    </row>
    <row r="7747" spans="25:26">
      <c r="Y7747" s="1354"/>
      <c r="Z7747" s="1060"/>
    </row>
    <row r="7748" spans="25:26">
      <c r="Y7748" s="1354"/>
      <c r="Z7748" s="1060"/>
    </row>
    <row r="7749" spans="25:26">
      <c r="Y7749" s="1354"/>
      <c r="Z7749" s="1060"/>
    </row>
    <row r="7750" spans="25:26">
      <c r="Y7750" s="1354"/>
      <c r="Z7750" s="1060"/>
    </row>
    <row r="7751" spans="25:26">
      <c r="Y7751" s="1354"/>
      <c r="Z7751" s="1060"/>
    </row>
    <row r="7752" spans="25:26">
      <c r="Y7752" s="1354"/>
      <c r="Z7752" s="1060"/>
    </row>
    <row r="7753" spans="25:26">
      <c r="Y7753" s="1354"/>
      <c r="Z7753" s="1060"/>
    </row>
    <row r="7754" spans="25:26">
      <c r="Y7754" s="1354"/>
      <c r="Z7754" s="1060"/>
    </row>
    <row r="7755" spans="25:26">
      <c r="Y7755" s="1354"/>
      <c r="Z7755" s="1060"/>
    </row>
    <row r="7756" spans="25:26">
      <c r="Y7756" s="1354"/>
      <c r="Z7756" s="1060"/>
    </row>
    <row r="7757" spans="25:26">
      <c r="Y7757" s="1354"/>
      <c r="Z7757" s="1060"/>
    </row>
    <row r="7758" spans="25:26">
      <c r="Y7758" s="1354"/>
      <c r="Z7758" s="1060"/>
    </row>
    <row r="7759" spans="25:26">
      <c r="Y7759" s="1354"/>
      <c r="Z7759" s="1060"/>
    </row>
    <row r="7760" spans="25:26">
      <c r="Y7760" s="1354"/>
      <c r="Z7760" s="1060"/>
    </row>
    <row r="7761" spans="25:26">
      <c r="Y7761" s="1354"/>
      <c r="Z7761" s="1060"/>
    </row>
    <row r="7762" spans="25:26">
      <c r="Y7762" s="1354"/>
      <c r="Z7762" s="1060"/>
    </row>
    <row r="7763" spans="25:26">
      <c r="Y7763" s="1354"/>
      <c r="Z7763" s="1060"/>
    </row>
    <row r="7764" spans="25:26">
      <c r="Y7764" s="1354"/>
      <c r="Z7764" s="1060"/>
    </row>
    <row r="7765" spans="25:26">
      <c r="Y7765" s="1354"/>
      <c r="Z7765" s="1060"/>
    </row>
    <row r="7766" spans="25:26">
      <c r="Y7766" s="1354"/>
      <c r="Z7766" s="1060"/>
    </row>
    <row r="7767" spans="25:26">
      <c r="Y7767" s="1354"/>
      <c r="Z7767" s="1060"/>
    </row>
    <row r="7768" spans="25:26">
      <c r="Y7768" s="1354"/>
      <c r="Z7768" s="1060"/>
    </row>
    <row r="7769" spans="25:26">
      <c r="Y7769" s="1354"/>
      <c r="Z7769" s="1060"/>
    </row>
    <row r="7770" spans="25:26">
      <c r="Y7770" s="1354"/>
      <c r="Z7770" s="1060"/>
    </row>
    <row r="7771" spans="25:26">
      <c r="Y7771" s="1354"/>
      <c r="Z7771" s="1060"/>
    </row>
    <row r="7772" spans="25:26">
      <c r="Y7772" s="1354"/>
      <c r="Z7772" s="1060"/>
    </row>
    <row r="7773" spans="25:26">
      <c r="Y7773" s="1354"/>
      <c r="Z7773" s="1060"/>
    </row>
    <row r="7774" spans="25:26">
      <c r="Y7774" s="1354"/>
      <c r="Z7774" s="1060"/>
    </row>
    <row r="7775" spans="25:26">
      <c r="Y7775" s="1354"/>
      <c r="Z7775" s="1060"/>
    </row>
    <row r="7776" spans="25:26">
      <c r="Y7776" s="1354"/>
      <c r="Z7776" s="1060"/>
    </row>
    <row r="7777" spans="25:26">
      <c r="Y7777" s="1354"/>
      <c r="Z7777" s="1060"/>
    </row>
    <row r="7778" spans="25:26">
      <c r="Y7778" s="1354"/>
      <c r="Z7778" s="1060"/>
    </row>
    <row r="7779" spans="25:26">
      <c r="Y7779" s="1354"/>
      <c r="Z7779" s="1060"/>
    </row>
    <row r="7780" spans="25:26">
      <c r="Y7780" s="1354"/>
      <c r="Z7780" s="1060"/>
    </row>
    <row r="7781" spans="25:26">
      <c r="Y7781" s="1354"/>
      <c r="Z7781" s="1060"/>
    </row>
    <row r="7782" spans="25:26">
      <c r="Y7782" s="1354"/>
      <c r="Z7782" s="1060"/>
    </row>
    <row r="7783" spans="25:26">
      <c r="Y7783" s="1354"/>
      <c r="Z7783" s="1060"/>
    </row>
    <row r="7784" spans="25:26">
      <c r="Y7784" s="1354"/>
      <c r="Z7784" s="1060"/>
    </row>
    <row r="7785" spans="25:26">
      <c r="Y7785" s="1354"/>
      <c r="Z7785" s="1060"/>
    </row>
    <row r="7786" spans="25:26">
      <c r="Y7786" s="1354"/>
      <c r="Z7786" s="1060"/>
    </row>
    <row r="7787" spans="25:26">
      <c r="Y7787" s="1354"/>
      <c r="Z7787" s="1060"/>
    </row>
    <row r="7788" spans="25:26">
      <c r="Y7788" s="1354"/>
      <c r="Z7788" s="1060"/>
    </row>
    <row r="7789" spans="25:26">
      <c r="Y7789" s="1354"/>
      <c r="Z7789" s="1060"/>
    </row>
    <row r="7790" spans="25:26">
      <c r="Y7790" s="1354"/>
      <c r="Z7790" s="1060"/>
    </row>
    <row r="7791" spans="25:26">
      <c r="Y7791" s="1354"/>
      <c r="Z7791" s="1060"/>
    </row>
    <row r="7792" spans="25:26">
      <c r="Y7792" s="1354"/>
      <c r="Z7792" s="1060"/>
    </row>
    <row r="7793" spans="25:26">
      <c r="Y7793" s="1354"/>
      <c r="Z7793" s="1060"/>
    </row>
    <row r="7794" spans="25:26">
      <c r="Y7794" s="1354"/>
      <c r="Z7794" s="1060"/>
    </row>
    <row r="7795" spans="25:26">
      <c r="Y7795" s="1354"/>
      <c r="Z7795" s="1060"/>
    </row>
    <row r="7796" spans="25:26">
      <c r="Y7796" s="1354"/>
      <c r="Z7796" s="1060"/>
    </row>
    <row r="7797" spans="25:26">
      <c r="Y7797" s="1354"/>
      <c r="Z7797" s="1060"/>
    </row>
    <row r="7798" spans="25:26">
      <c r="Y7798" s="1354"/>
      <c r="Z7798" s="1060"/>
    </row>
    <row r="7799" spans="25:26">
      <c r="Y7799" s="1354"/>
      <c r="Z7799" s="1060"/>
    </row>
    <row r="7800" spans="25:26">
      <c r="Y7800" s="1354"/>
      <c r="Z7800" s="1060"/>
    </row>
    <row r="7801" spans="25:26">
      <c r="Y7801" s="1354"/>
      <c r="Z7801" s="1060"/>
    </row>
    <row r="7802" spans="25:26">
      <c r="Y7802" s="1354"/>
      <c r="Z7802" s="1060"/>
    </row>
    <row r="7803" spans="25:26">
      <c r="Y7803" s="1354"/>
      <c r="Z7803" s="1060"/>
    </row>
    <row r="7804" spans="25:26">
      <c r="Y7804" s="1354"/>
      <c r="Z7804" s="1060"/>
    </row>
    <row r="7805" spans="25:26">
      <c r="Y7805" s="1354"/>
      <c r="Z7805" s="1060"/>
    </row>
    <row r="7806" spans="25:26">
      <c r="Y7806" s="1354"/>
      <c r="Z7806" s="1060"/>
    </row>
    <row r="7807" spans="25:26">
      <c r="Y7807" s="1354"/>
      <c r="Z7807" s="1060"/>
    </row>
    <row r="7808" spans="25:26">
      <c r="Y7808" s="1354"/>
      <c r="Z7808" s="1060"/>
    </row>
    <row r="7809" spans="25:26">
      <c r="Y7809" s="1354"/>
      <c r="Z7809" s="1060"/>
    </row>
    <row r="7810" spans="25:26">
      <c r="Y7810" s="1354"/>
      <c r="Z7810" s="1060"/>
    </row>
    <row r="7811" spans="25:26">
      <c r="Y7811" s="1354"/>
      <c r="Z7811" s="1060"/>
    </row>
    <row r="7812" spans="25:26">
      <c r="Y7812" s="1354"/>
      <c r="Z7812" s="1060"/>
    </row>
    <row r="7813" spans="25:26">
      <c r="Y7813" s="1354"/>
      <c r="Z7813" s="1060"/>
    </row>
    <row r="7814" spans="25:26">
      <c r="Y7814" s="1354"/>
      <c r="Z7814" s="1060"/>
    </row>
    <row r="7815" spans="25:26">
      <c r="Y7815" s="1354"/>
      <c r="Z7815" s="1060"/>
    </row>
    <row r="7816" spans="25:26">
      <c r="Y7816" s="1354"/>
      <c r="Z7816" s="1060"/>
    </row>
    <row r="7817" spans="25:26">
      <c r="Y7817" s="1354"/>
      <c r="Z7817" s="1060"/>
    </row>
    <row r="7818" spans="25:26">
      <c r="Y7818" s="1354"/>
      <c r="Z7818" s="1060"/>
    </row>
    <row r="7819" spans="25:26">
      <c r="Y7819" s="1354"/>
      <c r="Z7819" s="1060"/>
    </row>
    <row r="7820" spans="25:26">
      <c r="Y7820" s="1354"/>
      <c r="Z7820" s="1060"/>
    </row>
    <row r="7821" spans="25:26">
      <c r="Y7821" s="1354"/>
      <c r="Z7821" s="1060"/>
    </row>
    <row r="7822" spans="25:26">
      <c r="Y7822" s="1354"/>
      <c r="Z7822" s="1060"/>
    </row>
    <row r="7823" spans="25:26">
      <c r="Y7823" s="1354"/>
      <c r="Z7823" s="1060"/>
    </row>
    <row r="7824" spans="25:26">
      <c r="Y7824" s="1354"/>
      <c r="Z7824" s="1060"/>
    </row>
    <row r="7825" spans="25:26">
      <c r="Y7825" s="1354"/>
      <c r="Z7825" s="1060"/>
    </row>
    <row r="7826" spans="25:26">
      <c r="Y7826" s="1354"/>
      <c r="Z7826" s="1060"/>
    </row>
    <row r="7827" spans="25:26">
      <c r="Y7827" s="1354"/>
      <c r="Z7827" s="1060"/>
    </row>
    <row r="7828" spans="25:26">
      <c r="Y7828" s="1354"/>
      <c r="Z7828" s="1060"/>
    </row>
    <row r="7829" spans="25:26">
      <c r="Y7829" s="1354"/>
      <c r="Z7829" s="1060"/>
    </row>
    <row r="7830" spans="25:26">
      <c r="Y7830" s="1354"/>
      <c r="Z7830" s="1060"/>
    </row>
    <row r="7831" spans="25:26">
      <c r="Y7831" s="1354"/>
      <c r="Z7831" s="1060"/>
    </row>
    <row r="7832" spans="25:26">
      <c r="Y7832" s="1354"/>
      <c r="Z7832" s="1060"/>
    </row>
    <row r="7833" spans="25:26">
      <c r="Y7833" s="1354"/>
      <c r="Z7833" s="1060"/>
    </row>
    <row r="7834" spans="25:26">
      <c r="Y7834" s="1354"/>
      <c r="Z7834" s="1060"/>
    </row>
    <row r="7835" spans="25:26">
      <c r="Y7835" s="1354"/>
      <c r="Z7835" s="1060"/>
    </row>
    <row r="7836" spans="25:26">
      <c r="Y7836" s="1354"/>
      <c r="Z7836" s="1060"/>
    </row>
    <row r="7837" spans="25:26">
      <c r="Y7837" s="1354"/>
      <c r="Z7837" s="1060"/>
    </row>
    <row r="7838" spans="25:26">
      <c r="Y7838" s="1354"/>
      <c r="Z7838" s="1060"/>
    </row>
    <row r="7839" spans="25:26">
      <c r="Y7839" s="1354"/>
      <c r="Z7839" s="1060"/>
    </row>
    <row r="7840" spans="25:26">
      <c r="Y7840" s="1354"/>
      <c r="Z7840" s="1060"/>
    </row>
    <row r="7841" spans="25:26">
      <c r="Y7841" s="1354"/>
      <c r="Z7841" s="1060"/>
    </row>
    <row r="7842" spans="25:26">
      <c r="Y7842" s="1354"/>
      <c r="Z7842" s="1060"/>
    </row>
    <row r="7843" spans="25:26">
      <c r="Y7843" s="1354"/>
      <c r="Z7843" s="1060"/>
    </row>
    <row r="7844" spans="25:26">
      <c r="Y7844" s="1354"/>
      <c r="Z7844" s="1060"/>
    </row>
    <row r="7845" spans="25:26">
      <c r="Y7845" s="1354"/>
      <c r="Z7845" s="1060"/>
    </row>
    <row r="7846" spans="25:26">
      <c r="Y7846" s="1354"/>
      <c r="Z7846" s="1060"/>
    </row>
    <row r="7847" spans="25:26">
      <c r="Y7847" s="1354"/>
      <c r="Z7847" s="1060"/>
    </row>
    <row r="7848" spans="25:26">
      <c r="Y7848" s="1354"/>
      <c r="Z7848" s="1060"/>
    </row>
    <row r="7849" spans="25:26">
      <c r="Y7849" s="1354"/>
      <c r="Z7849" s="1060"/>
    </row>
    <row r="7850" spans="25:26">
      <c r="Y7850" s="1354"/>
      <c r="Z7850" s="1060"/>
    </row>
    <row r="7851" spans="25:26">
      <c r="Y7851" s="1354"/>
      <c r="Z7851" s="1060"/>
    </row>
    <row r="7852" spans="25:26">
      <c r="Y7852" s="1354"/>
      <c r="Z7852" s="1060"/>
    </row>
    <row r="7853" spans="25:26">
      <c r="Y7853" s="1354"/>
      <c r="Z7853" s="1060"/>
    </row>
    <row r="7854" spans="25:26">
      <c r="Y7854" s="1354"/>
      <c r="Z7854" s="1060"/>
    </row>
    <row r="7855" spans="25:26">
      <c r="Y7855" s="1354"/>
      <c r="Z7855" s="1060"/>
    </row>
    <row r="7856" spans="25:26">
      <c r="Y7856" s="1354"/>
      <c r="Z7856" s="1060"/>
    </row>
    <row r="7857" spans="25:26">
      <c r="Y7857" s="1354"/>
      <c r="Z7857" s="1060"/>
    </row>
    <row r="7858" spans="25:26">
      <c r="Y7858" s="1354"/>
      <c r="Z7858" s="1060"/>
    </row>
    <row r="7859" spans="25:26">
      <c r="Y7859" s="1354"/>
      <c r="Z7859" s="1060"/>
    </row>
    <row r="7860" spans="25:26">
      <c r="Y7860" s="1354"/>
      <c r="Z7860" s="1060"/>
    </row>
    <row r="7861" spans="25:26">
      <c r="Y7861" s="1354"/>
      <c r="Z7861" s="1060"/>
    </row>
    <row r="7862" spans="25:26">
      <c r="Y7862" s="1354"/>
      <c r="Z7862" s="1060"/>
    </row>
    <row r="7863" spans="25:26">
      <c r="Y7863" s="1354"/>
      <c r="Z7863" s="1060"/>
    </row>
    <row r="7864" spans="25:26">
      <c r="Y7864" s="1354"/>
      <c r="Z7864" s="1060"/>
    </row>
    <row r="7865" spans="25:26">
      <c r="Y7865" s="1354"/>
      <c r="Z7865" s="1060"/>
    </row>
    <row r="7866" spans="25:26">
      <c r="Y7866" s="1354"/>
      <c r="Z7866" s="1060"/>
    </row>
    <row r="7867" spans="25:26">
      <c r="Y7867" s="1354"/>
      <c r="Z7867" s="1060"/>
    </row>
    <row r="7868" spans="25:26">
      <c r="Y7868" s="1354"/>
      <c r="Z7868" s="1060"/>
    </row>
    <row r="7869" spans="25:26">
      <c r="Y7869" s="1354"/>
      <c r="Z7869" s="1060"/>
    </row>
    <row r="7870" spans="25:26">
      <c r="Y7870" s="1354"/>
      <c r="Z7870" s="1060"/>
    </row>
    <row r="7871" spans="25:26">
      <c r="Y7871" s="1354"/>
      <c r="Z7871" s="1060"/>
    </row>
    <row r="7872" spans="25:26">
      <c r="Y7872" s="1354"/>
      <c r="Z7872" s="1060"/>
    </row>
    <row r="7873" spans="25:26">
      <c r="Y7873" s="1354"/>
      <c r="Z7873" s="1060"/>
    </row>
    <row r="7874" spans="25:26">
      <c r="Y7874" s="1354"/>
      <c r="Z7874" s="1060"/>
    </row>
    <row r="7875" spans="25:26">
      <c r="Y7875" s="1354"/>
      <c r="Z7875" s="1060"/>
    </row>
    <row r="7876" spans="25:26">
      <c r="Y7876" s="1354"/>
      <c r="Z7876" s="1060"/>
    </row>
    <row r="7877" spans="25:26">
      <c r="Y7877" s="1354"/>
      <c r="Z7877" s="1060"/>
    </row>
    <row r="7878" spans="25:26">
      <c r="Y7878" s="1354"/>
      <c r="Z7878" s="1060"/>
    </row>
    <row r="7879" spans="25:26">
      <c r="Y7879" s="1354"/>
      <c r="Z7879" s="1060"/>
    </row>
    <row r="7880" spans="25:26">
      <c r="Y7880" s="1354"/>
      <c r="Z7880" s="1060"/>
    </row>
    <row r="7881" spans="25:26">
      <c r="Y7881" s="1354"/>
      <c r="Z7881" s="1060"/>
    </row>
    <row r="7882" spans="25:26">
      <c r="Y7882" s="1354"/>
      <c r="Z7882" s="1060"/>
    </row>
    <row r="7883" spans="25:26">
      <c r="Y7883" s="1354"/>
      <c r="Z7883" s="1060"/>
    </row>
    <row r="7884" spans="25:26">
      <c r="Y7884" s="1354"/>
      <c r="Z7884" s="1060"/>
    </row>
    <row r="7885" spans="25:26">
      <c r="Y7885" s="1354"/>
      <c r="Z7885" s="1060"/>
    </row>
    <row r="7886" spans="25:26">
      <c r="Y7886" s="1354"/>
      <c r="Z7886" s="1060"/>
    </row>
    <row r="7887" spans="25:26">
      <c r="Y7887" s="1354"/>
      <c r="Z7887" s="1060"/>
    </row>
    <row r="7888" spans="25:26">
      <c r="Y7888" s="1354"/>
      <c r="Z7888" s="1060"/>
    </row>
    <row r="7889" spans="25:26">
      <c r="Y7889" s="1354"/>
      <c r="Z7889" s="1060"/>
    </row>
    <row r="7890" spans="25:26">
      <c r="Y7890" s="1354"/>
      <c r="Z7890" s="1060"/>
    </row>
    <row r="7891" spans="25:26">
      <c r="Y7891" s="1354"/>
      <c r="Z7891" s="1060"/>
    </row>
    <row r="7892" spans="25:26">
      <c r="Y7892" s="1354"/>
      <c r="Z7892" s="1060"/>
    </row>
    <row r="7893" spans="25:26">
      <c r="Y7893" s="1354"/>
      <c r="Z7893" s="1060"/>
    </row>
    <row r="7894" spans="25:26">
      <c r="Y7894" s="1354"/>
      <c r="Z7894" s="1060"/>
    </row>
    <row r="7895" spans="25:26">
      <c r="Y7895" s="1354"/>
      <c r="Z7895" s="1060"/>
    </row>
    <row r="7896" spans="25:26">
      <c r="Y7896" s="1354"/>
      <c r="Z7896" s="1060"/>
    </row>
    <row r="7897" spans="25:26">
      <c r="Y7897" s="1354"/>
      <c r="Z7897" s="1060"/>
    </row>
    <row r="7898" spans="25:26">
      <c r="Y7898" s="1354"/>
      <c r="Z7898" s="1060"/>
    </row>
    <row r="7899" spans="25:26">
      <c r="Y7899" s="1354"/>
      <c r="Z7899" s="1060"/>
    </row>
    <row r="7900" spans="25:26">
      <c r="Y7900" s="1354"/>
      <c r="Z7900" s="1060"/>
    </row>
    <row r="7901" spans="25:26">
      <c r="Y7901" s="1354"/>
      <c r="Z7901" s="1060"/>
    </row>
    <row r="7902" spans="25:26">
      <c r="Y7902" s="1354"/>
      <c r="Z7902" s="1060"/>
    </row>
    <row r="7903" spans="25:26">
      <c r="Y7903" s="1354"/>
      <c r="Z7903" s="1060"/>
    </row>
    <row r="7904" spans="25:26">
      <c r="Y7904" s="1354"/>
      <c r="Z7904" s="1060"/>
    </row>
    <row r="7905" spans="25:26">
      <c r="Y7905" s="1354"/>
      <c r="Z7905" s="1060"/>
    </row>
    <row r="7906" spans="25:26">
      <c r="Y7906" s="1354"/>
      <c r="Z7906" s="1060"/>
    </row>
    <row r="7907" spans="25:26">
      <c r="Y7907" s="1354"/>
      <c r="Z7907" s="1060"/>
    </row>
    <row r="7908" spans="25:26">
      <c r="Y7908" s="1354"/>
      <c r="Z7908" s="1060"/>
    </row>
    <row r="7909" spans="25:26">
      <c r="Y7909" s="1354"/>
      <c r="Z7909" s="1060"/>
    </row>
    <row r="7910" spans="25:26">
      <c r="Y7910" s="1354"/>
      <c r="Z7910" s="1060"/>
    </row>
    <row r="7911" spans="25:26">
      <c r="Y7911" s="1354"/>
      <c r="Z7911" s="1060"/>
    </row>
    <row r="7912" spans="25:26">
      <c r="Y7912" s="1354"/>
      <c r="Z7912" s="1060"/>
    </row>
    <row r="7913" spans="25:26">
      <c r="Y7913" s="1354"/>
      <c r="Z7913" s="1060"/>
    </row>
    <row r="7914" spans="25:26">
      <c r="Y7914" s="1354"/>
      <c r="Z7914" s="1060"/>
    </row>
    <row r="7915" spans="25:26">
      <c r="Y7915" s="1354"/>
      <c r="Z7915" s="1060"/>
    </row>
    <row r="7916" spans="25:26">
      <c r="Y7916" s="1354"/>
      <c r="Z7916" s="1060"/>
    </row>
    <row r="7917" spans="25:26">
      <c r="Y7917" s="1354"/>
      <c r="Z7917" s="1060"/>
    </row>
    <row r="7918" spans="25:26">
      <c r="Y7918" s="1354"/>
      <c r="Z7918" s="1060"/>
    </row>
    <row r="7919" spans="25:26">
      <c r="Y7919" s="1354"/>
      <c r="Z7919" s="1060"/>
    </row>
    <row r="7920" spans="25:26">
      <c r="Y7920" s="1354"/>
      <c r="Z7920" s="1060"/>
    </row>
    <row r="7921" spans="25:26">
      <c r="Y7921" s="1354"/>
      <c r="Z7921" s="1060"/>
    </row>
    <row r="7922" spans="25:26">
      <c r="Y7922" s="1354"/>
      <c r="Z7922" s="1060"/>
    </row>
    <row r="7923" spans="25:26">
      <c r="Y7923" s="1354"/>
      <c r="Z7923" s="1060"/>
    </row>
    <row r="7924" spans="25:26">
      <c r="Y7924" s="1354"/>
      <c r="Z7924" s="1060"/>
    </row>
    <row r="7925" spans="25:26">
      <c r="Y7925" s="1354"/>
      <c r="Z7925" s="1060"/>
    </row>
    <row r="7926" spans="25:26">
      <c r="Y7926" s="1354"/>
      <c r="Z7926" s="1060"/>
    </row>
    <row r="7927" spans="25:26">
      <c r="Y7927" s="1354"/>
      <c r="Z7927" s="1060"/>
    </row>
    <row r="7928" spans="25:26">
      <c r="Y7928" s="1354"/>
      <c r="Z7928" s="1060"/>
    </row>
    <row r="7929" spans="25:26">
      <c r="Y7929" s="1354"/>
      <c r="Z7929" s="1060"/>
    </row>
    <row r="7930" spans="25:26">
      <c r="Y7930" s="1354"/>
      <c r="Z7930" s="1060"/>
    </row>
    <row r="7931" spans="25:26">
      <c r="Y7931" s="1354"/>
      <c r="Z7931" s="1060"/>
    </row>
    <row r="7932" spans="25:26">
      <c r="Y7932" s="1354"/>
      <c r="Z7932" s="1060"/>
    </row>
    <row r="7933" spans="25:26">
      <c r="Y7933" s="1354"/>
      <c r="Z7933" s="1060"/>
    </row>
    <row r="7934" spans="25:26">
      <c r="Y7934" s="1354"/>
      <c r="Z7934" s="1060"/>
    </row>
    <row r="7935" spans="25:26">
      <c r="Y7935" s="1354"/>
      <c r="Z7935" s="1060"/>
    </row>
    <row r="7936" spans="25:26">
      <c r="Y7936" s="1354"/>
      <c r="Z7936" s="1060"/>
    </row>
    <row r="7937" spans="25:26">
      <c r="Y7937" s="1354"/>
      <c r="Z7937" s="1060"/>
    </row>
    <row r="7938" spans="25:26">
      <c r="Y7938" s="1354"/>
      <c r="Z7938" s="1060"/>
    </row>
    <row r="7939" spans="25:26">
      <c r="Y7939" s="1354"/>
      <c r="Z7939" s="1060"/>
    </row>
    <row r="7940" spans="25:26">
      <c r="Y7940" s="1354"/>
      <c r="Z7940" s="1060"/>
    </row>
    <row r="7941" spans="25:26">
      <c r="Y7941" s="1354"/>
      <c r="Z7941" s="1060"/>
    </row>
    <row r="7942" spans="25:26">
      <c r="Y7942" s="1354"/>
      <c r="Z7942" s="1060"/>
    </row>
    <row r="7943" spans="25:26">
      <c r="Y7943" s="1354"/>
      <c r="Z7943" s="1060"/>
    </row>
    <row r="7944" spans="25:26">
      <c r="Y7944" s="1354"/>
      <c r="Z7944" s="1060"/>
    </row>
    <row r="7945" spans="25:26">
      <c r="Y7945" s="1354"/>
      <c r="Z7945" s="1060"/>
    </row>
    <row r="7946" spans="25:26">
      <c r="Y7946" s="1354"/>
      <c r="Z7946" s="1060"/>
    </row>
    <row r="7947" spans="25:26">
      <c r="Y7947" s="1354"/>
      <c r="Z7947" s="1060"/>
    </row>
    <row r="7948" spans="25:26">
      <c r="Y7948" s="1354"/>
      <c r="Z7948" s="1060"/>
    </row>
    <row r="7949" spans="25:26">
      <c r="Y7949" s="1354"/>
      <c r="Z7949" s="1060"/>
    </row>
    <row r="7950" spans="25:26">
      <c r="Y7950" s="1354"/>
      <c r="Z7950" s="1060"/>
    </row>
    <row r="7951" spans="25:26">
      <c r="Y7951" s="1354"/>
      <c r="Z7951" s="1060"/>
    </row>
    <row r="7952" spans="25:26">
      <c r="Y7952" s="1354"/>
      <c r="Z7952" s="1060"/>
    </row>
    <row r="7953" spans="25:26">
      <c r="Y7953" s="1354"/>
      <c r="Z7953" s="1060"/>
    </row>
    <row r="7954" spans="25:26">
      <c r="Y7954" s="1354"/>
      <c r="Z7954" s="1060"/>
    </row>
    <row r="7955" spans="25:26">
      <c r="Y7955" s="1354"/>
      <c r="Z7955" s="1060"/>
    </row>
    <row r="7956" spans="25:26">
      <c r="Y7956" s="1354"/>
      <c r="Z7956" s="1060"/>
    </row>
    <row r="7957" spans="25:26">
      <c r="Y7957" s="1354"/>
      <c r="Z7957" s="1060"/>
    </row>
    <row r="7958" spans="25:26">
      <c r="Y7958" s="1354"/>
      <c r="Z7958" s="1060"/>
    </row>
    <row r="7959" spans="25:26">
      <c r="Y7959" s="1354"/>
      <c r="Z7959" s="1060"/>
    </row>
    <row r="7960" spans="25:26">
      <c r="Y7960" s="1354"/>
      <c r="Z7960" s="1060"/>
    </row>
    <row r="7961" spans="25:26">
      <c r="Y7961" s="1354"/>
      <c r="Z7961" s="1060"/>
    </row>
    <row r="7962" spans="25:26">
      <c r="Y7962" s="1354"/>
      <c r="Z7962" s="1060"/>
    </row>
    <row r="7963" spans="25:26">
      <c r="Y7963" s="1354"/>
      <c r="Z7963" s="1060"/>
    </row>
    <row r="7964" spans="25:26">
      <c r="Y7964" s="1354"/>
      <c r="Z7964" s="1060"/>
    </row>
    <row r="7965" spans="25:26">
      <c r="Y7965" s="1354"/>
      <c r="Z7965" s="1060"/>
    </row>
    <row r="7966" spans="25:26">
      <c r="Y7966" s="1354"/>
      <c r="Z7966" s="1060"/>
    </row>
    <row r="7967" spans="25:26">
      <c r="Y7967" s="1354"/>
      <c r="Z7967" s="1060"/>
    </row>
    <row r="7968" spans="25:26">
      <c r="Y7968" s="1354"/>
      <c r="Z7968" s="1060"/>
    </row>
    <row r="7969" spans="25:26">
      <c r="Y7969" s="1354"/>
      <c r="Z7969" s="1060"/>
    </row>
    <row r="7970" spans="25:26">
      <c r="Y7970" s="1354"/>
      <c r="Z7970" s="1060"/>
    </row>
    <row r="7971" spans="25:26">
      <c r="Y7971" s="1354"/>
      <c r="Z7971" s="1060"/>
    </row>
    <row r="7972" spans="25:26">
      <c r="Y7972" s="1354"/>
      <c r="Z7972" s="1060"/>
    </row>
    <row r="7973" spans="25:26">
      <c r="Y7973" s="1354"/>
      <c r="Z7973" s="1060"/>
    </row>
    <row r="7974" spans="25:26">
      <c r="Y7974" s="1354"/>
      <c r="Z7974" s="1060"/>
    </row>
    <row r="7975" spans="25:26">
      <c r="Y7975" s="1354"/>
      <c r="Z7975" s="1060"/>
    </row>
    <row r="7976" spans="25:26">
      <c r="Y7976" s="1354"/>
      <c r="Z7976" s="1060"/>
    </row>
    <row r="7977" spans="25:26">
      <c r="Y7977" s="1354"/>
      <c r="Z7977" s="1060"/>
    </row>
    <row r="7978" spans="25:26">
      <c r="Y7978" s="1354"/>
      <c r="Z7978" s="1060"/>
    </row>
    <row r="7979" spans="25:26">
      <c r="Y7979" s="1354"/>
      <c r="Z7979" s="1060"/>
    </row>
    <row r="7980" spans="25:26">
      <c r="Y7980" s="1354"/>
      <c r="Z7980" s="1060"/>
    </row>
    <row r="7981" spans="25:26">
      <c r="Y7981" s="1354"/>
      <c r="Z7981" s="1060"/>
    </row>
    <row r="7982" spans="25:26">
      <c r="Y7982" s="1354"/>
      <c r="Z7982" s="1060"/>
    </row>
    <row r="7983" spans="25:26">
      <c r="Y7983" s="1354"/>
      <c r="Z7983" s="1060"/>
    </row>
    <row r="7984" spans="25:26">
      <c r="Y7984" s="1354"/>
      <c r="Z7984" s="1060"/>
    </row>
    <row r="7985" spans="25:26">
      <c r="Y7985" s="1354"/>
      <c r="Z7985" s="1060"/>
    </row>
    <row r="7986" spans="25:26">
      <c r="Y7986" s="1354"/>
      <c r="Z7986" s="1060"/>
    </row>
    <row r="7987" spans="25:26">
      <c r="Y7987" s="1354"/>
      <c r="Z7987" s="1060"/>
    </row>
    <row r="7988" spans="25:26">
      <c r="Y7988" s="1354"/>
      <c r="Z7988" s="1060"/>
    </row>
    <row r="7989" spans="25:26">
      <c r="Y7989" s="1354"/>
      <c r="Z7989" s="1060"/>
    </row>
    <row r="7990" spans="25:26">
      <c r="Y7990" s="1354"/>
      <c r="Z7990" s="1060"/>
    </row>
    <row r="7991" spans="25:26">
      <c r="Y7991" s="1354"/>
      <c r="Z7991" s="1060"/>
    </row>
    <row r="7992" spans="25:26">
      <c r="Y7992" s="1354"/>
      <c r="Z7992" s="1060"/>
    </row>
    <row r="7993" spans="25:26">
      <c r="Y7993" s="1354"/>
      <c r="Z7993" s="1060"/>
    </row>
    <row r="7994" spans="25:26">
      <c r="Y7994" s="1354"/>
      <c r="Z7994" s="1060"/>
    </row>
    <row r="7995" spans="25:26">
      <c r="Y7995" s="1354"/>
      <c r="Z7995" s="1060"/>
    </row>
    <row r="7996" spans="25:26">
      <c r="Y7996" s="1354"/>
      <c r="Z7996" s="1060"/>
    </row>
    <row r="7997" spans="25:26">
      <c r="Y7997" s="1354"/>
      <c r="Z7997" s="1060"/>
    </row>
    <row r="7998" spans="25:26">
      <c r="Y7998" s="1354"/>
      <c r="Z7998" s="1060"/>
    </row>
    <row r="7999" spans="25:26">
      <c r="Y7999" s="1354"/>
      <c r="Z7999" s="1060"/>
    </row>
    <row r="8000" spans="25:26">
      <c r="Y8000" s="1354"/>
      <c r="Z8000" s="1060"/>
    </row>
    <row r="8001" spans="25:26">
      <c r="Y8001" s="1354"/>
      <c r="Z8001" s="1060"/>
    </row>
    <row r="8002" spans="25:26">
      <c r="Y8002" s="1354"/>
      <c r="Z8002" s="1060"/>
    </row>
    <row r="8003" spans="25:26">
      <c r="Y8003" s="1354"/>
      <c r="Z8003" s="1060"/>
    </row>
    <row r="8004" spans="25:26">
      <c r="Y8004" s="1354"/>
      <c r="Z8004" s="1060"/>
    </row>
    <row r="8005" spans="25:26">
      <c r="Y8005" s="1354"/>
      <c r="Z8005" s="1060"/>
    </row>
    <row r="8006" spans="25:26">
      <c r="Y8006" s="1354"/>
      <c r="Z8006" s="1060"/>
    </row>
    <row r="8007" spans="25:26">
      <c r="Y8007" s="1354"/>
      <c r="Z8007" s="1060"/>
    </row>
    <row r="8008" spans="25:26">
      <c r="Y8008" s="1354"/>
      <c r="Z8008" s="1060"/>
    </row>
    <row r="8009" spans="25:26">
      <c r="Y8009" s="1354"/>
      <c r="Z8009" s="1060"/>
    </row>
    <row r="8010" spans="25:26">
      <c r="Y8010" s="1354"/>
      <c r="Z8010" s="1060"/>
    </row>
    <row r="8011" spans="25:26">
      <c r="Y8011" s="1354"/>
      <c r="Z8011" s="1060"/>
    </row>
    <row r="8012" spans="25:26">
      <c r="Y8012" s="1354"/>
      <c r="Z8012" s="1060"/>
    </row>
    <row r="8013" spans="25:26">
      <c r="Y8013" s="1354"/>
      <c r="Z8013" s="1060"/>
    </row>
    <row r="8014" spans="25:26">
      <c r="Y8014" s="1354"/>
      <c r="Z8014" s="1060"/>
    </row>
    <row r="8015" spans="25:26">
      <c r="Y8015" s="1354"/>
      <c r="Z8015" s="1060"/>
    </row>
    <row r="8016" spans="25:26">
      <c r="Y8016" s="1354"/>
      <c r="Z8016" s="1060"/>
    </row>
    <row r="8017" spans="25:26">
      <c r="Y8017" s="1354"/>
      <c r="Z8017" s="1060"/>
    </row>
    <row r="8018" spans="25:26">
      <c r="Y8018" s="1354"/>
      <c r="Z8018" s="1060"/>
    </row>
    <row r="8019" spans="25:26">
      <c r="Y8019" s="1354"/>
      <c r="Z8019" s="1060"/>
    </row>
    <row r="8020" spans="25:26">
      <c r="Y8020" s="1354"/>
      <c r="Z8020" s="1060"/>
    </row>
    <row r="8021" spans="25:26">
      <c r="Y8021" s="1354"/>
      <c r="Z8021" s="1060"/>
    </row>
    <row r="8022" spans="25:26">
      <c r="Y8022" s="1354"/>
      <c r="Z8022" s="1060"/>
    </row>
    <row r="8023" spans="25:26">
      <c r="Y8023" s="1354"/>
      <c r="Z8023" s="1060"/>
    </row>
    <row r="8024" spans="25:26">
      <c r="Y8024" s="1354"/>
      <c r="Z8024" s="1060"/>
    </row>
    <row r="8025" spans="25:26">
      <c r="Y8025" s="1354"/>
      <c r="Z8025" s="1060"/>
    </row>
    <row r="8026" spans="25:26">
      <c r="Y8026" s="1354"/>
      <c r="Z8026" s="1060"/>
    </row>
    <row r="8027" spans="25:26">
      <c r="Y8027" s="1354"/>
      <c r="Z8027" s="1060"/>
    </row>
    <row r="8028" spans="25:26">
      <c r="Y8028" s="1354"/>
      <c r="Z8028" s="1060"/>
    </row>
    <row r="8029" spans="25:26">
      <c r="Y8029" s="1354"/>
      <c r="Z8029" s="1060"/>
    </row>
    <row r="8030" spans="25:26">
      <c r="Y8030" s="1354"/>
      <c r="Z8030" s="1060"/>
    </row>
    <row r="8031" spans="25:26">
      <c r="Y8031" s="1354"/>
      <c r="Z8031" s="1060"/>
    </row>
    <row r="8032" spans="25:26">
      <c r="Y8032" s="1354"/>
      <c r="Z8032" s="1060"/>
    </row>
    <row r="8033" spans="25:26">
      <c r="Y8033" s="1354"/>
      <c r="Z8033" s="1060"/>
    </row>
    <row r="8034" spans="25:26">
      <c r="Y8034" s="1354"/>
      <c r="Z8034" s="1060"/>
    </row>
    <row r="8035" spans="25:26">
      <c r="Y8035" s="1354"/>
      <c r="Z8035" s="1060"/>
    </row>
    <row r="8036" spans="25:26">
      <c r="Y8036" s="1354"/>
      <c r="Z8036" s="1060"/>
    </row>
    <row r="8037" spans="25:26">
      <c r="Y8037" s="1354"/>
      <c r="Z8037" s="1060"/>
    </row>
    <row r="8038" spans="25:26">
      <c r="Y8038" s="1354"/>
      <c r="Z8038" s="1060"/>
    </row>
    <row r="8039" spans="25:26">
      <c r="Y8039" s="1354"/>
      <c r="Z8039" s="1060"/>
    </row>
    <row r="8040" spans="25:26">
      <c r="Y8040" s="1354"/>
      <c r="Z8040" s="1060"/>
    </row>
    <row r="8041" spans="25:26">
      <c r="Y8041" s="1354"/>
      <c r="Z8041" s="1060"/>
    </row>
    <row r="8042" spans="25:26">
      <c r="Y8042" s="1354"/>
      <c r="Z8042" s="1060"/>
    </row>
    <row r="8043" spans="25:26">
      <c r="Y8043" s="1354"/>
      <c r="Z8043" s="1060"/>
    </row>
    <row r="8044" spans="25:26">
      <c r="Y8044" s="1354"/>
      <c r="Z8044" s="1060"/>
    </row>
    <row r="8045" spans="25:26">
      <c r="Y8045" s="1354"/>
      <c r="Z8045" s="1060"/>
    </row>
    <row r="8046" spans="25:26">
      <c r="Y8046" s="1354"/>
      <c r="Z8046" s="1060"/>
    </row>
    <row r="8047" spans="25:26">
      <c r="Y8047" s="1354"/>
      <c r="Z8047" s="1060"/>
    </row>
    <row r="8048" spans="25:26">
      <c r="Y8048" s="1354"/>
      <c r="Z8048" s="1060"/>
    </row>
    <row r="8049" spans="25:26">
      <c r="Y8049" s="1354"/>
      <c r="Z8049" s="1060"/>
    </row>
    <row r="8050" spans="25:26">
      <c r="Y8050" s="1354"/>
      <c r="Z8050" s="1060"/>
    </row>
    <row r="8051" spans="25:26">
      <c r="Y8051" s="1354"/>
      <c r="Z8051" s="1060"/>
    </row>
    <row r="8052" spans="25:26">
      <c r="Y8052" s="1354"/>
      <c r="Z8052" s="1060"/>
    </row>
    <row r="8053" spans="25:26">
      <c r="Y8053" s="1354"/>
      <c r="Z8053" s="1060"/>
    </row>
    <row r="8054" spans="25:26">
      <c r="Y8054" s="1354"/>
      <c r="Z8054" s="1060"/>
    </row>
    <row r="8055" spans="25:26">
      <c r="Y8055" s="1354"/>
      <c r="Z8055" s="1060"/>
    </row>
    <row r="8056" spans="25:26">
      <c r="Y8056" s="1354"/>
      <c r="Z8056" s="1060"/>
    </row>
    <row r="8057" spans="25:26">
      <c r="Y8057" s="1354"/>
      <c r="Z8057" s="1060"/>
    </row>
    <row r="8058" spans="25:26">
      <c r="Y8058" s="1354"/>
      <c r="Z8058" s="1060"/>
    </row>
    <row r="8059" spans="25:26">
      <c r="Y8059" s="1354"/>
      <c r="Z8059" s="1060"/>
    </row>
    <row r="8060" spans="25:26">
      <c r="Y8060" s="1354"/>
      <c r="Z8060" s="1060"/>
    </row>
    <row r="8061" spans="25:26">
      <c r="Y8061" s="1354"/>
      <c r="Z8061" s="1060"/>
    </row>
    <row r="8062" spans="25:26">
      <c r="Y8062" s="1354"/>
      <c r="Z8062" s="1060"/>
    </row>
    <row r="8063" spans="25:26">
      <c r="Y8063" s="1354"/>
      <c r="Z8063" s="1060"/>
    </row>
    <row r="8064" spans="25:26">
      <c r="Y8064" s="1354"/>
      <c r="Z8064" s="1060"/>
    </row>
    <row r="8065" spans="25:26">
      <c r="Y8065" s="1354"/>
      <c r="Z8065" s="1060"/>
    </row>
    <row r="8066" spans="25:26">
      <c r="Y8066" s="1354"/>
      <c r="Z8066" s="1060"/>
    </row>
    <row r="8067" spans="25:26">
      <c r="Y8067" s="1354"/>
      <c r="Z8067" s="1060"/>
    </row>
    <row r="8068" spans="25:26">
      <c r="Y8068" s="1354"/>
      <c r="Z8068" s="1060"/>
    </row>
    <row r="8069" spans="25:26">
      <c r="Y8069" s="1354"/>
      <c r="Z8069" s="1060"/>
    </row>
    <row r="8070" spans="25:26">
      <c r="Y8070" s="1354"/>
      <c r="Z8070" s="1060"/>
    </row>
    <row r="8071" spans="25:26">
      <c r="Y8071" s="1354"/>
      <c r="Z8071" s="1060"/>
    </row>
    <row r="8072" spans="25:26">
      <c r="Y8072" s="1354"/>
      <c r="Z8072" s="1060"/>
    </row>
    <row r="8073" spans="25:26">
      <c r="Y8073" s="1354"/>
      <c r="Z8073" s="1060"/>
    </row>
    <row r="8074" spans="25:26">
      <c r="Y8074" s="1354"/>
      <c r="Z8074" s="1060"/>
    </row>
    <row r="8075" spans="25:26">
      <c r="Y8075" s="1354"/>
      <c r="Z8075" s="1060"/>
    </row>
    <row r="8076" spans="25:26">
      <c r="Y8076" s="1354"/>
      <c r="Z8076" s="1060"/>
    </row>
    <row r="8077" spans="25:26">
      <c r="Y8077" s="1354"/>
      <c r="Z8077" s="1060"/>
    </row>
    <row r="8078" spans="25:26">
      <c r="Y8078" s="1354"/>
      <c r="Z8078" s="1060"/>
    </row>
    <row r="8079" spans="25:26">
      <c r="Y8079" s="1354"/>
      <c r="Z8079" s="1060"/>
    </row>
    <row r="8080" spans="25:26">
      <c r="Y8080" s="1354"/>
      <c r="Z8080" s="1060"/>
    </row>
    <row r="8081" spans="25:26">
      <c r="Y8081" s="1354"/>
      <c r="Z8081" s="1060"/>
    </row>
    <row r="8082" spans="25:26">
      <c r="Y8082" s="1354"/>
      <c r="Z8082" s="1060"/>
    </row>
    <row r="8083" spans="25:26">
      <c r="Y8083" s="1354"/>
      <c r="Z8083" s="1060"/>
    </row>
    <row r="8084" spans="25:26">
      <c r="Y8084" s="1354"/>
      <c r="Z8084" s="1060"/>
    </row>
    <row r="8085" spans="25:26">
      <c r="Y8085" s="1354"/>
      <c r="Z8085" s="1060"/>
    </row>
    <row r="8086" spans="25:26">
      <c r="Y8086" s="1354"/>
      <c r="Z8086" s="1060"/>
    </row>
    <row r="8087" spans="25:26">
      <c r="Y8087" s="1354"/>
      <c r="Z8087" s="1060"/>
    </row>
    <row r="8088" spans="25:26">
      <c r="Y8088" s="1354"/>
      <c r="Z8088" s="1060"/>
    </row>
    <row r="8089" spans="25:26">
      <c r="Y8089" s="1354"/>
      <c r="Z8089" s="1060"/>
    </row>
    <row r="8090" spans="25:26">
      <c r="Y8090" s="1354"/>
      <c r="Z8090" s="1060"/>
    </row>
    <row r="8091" spans="25:26">
      <c r="Y8091" s="1354"/>
      <c r="Z8091" s="1060"/>
    </row>
    <row r="8092" spans="25:26">
      <c r="Y8092" s="1354"/>
      <c r="Z8092" s="1060"/>
    </row>
    <row r="8093" spans="25:26">
      <c r="Y8093" s="1354"/>
      <c r="Z8093" s="1060"/>
    </row>
    <row r="8094" spans="25:26">
      <c r="Y8094" s="1354"/>
      <c r="Z8094" s="1060"/>
    </row>
    <row r="8095" spans="25:26">
      <c r="Y8095" s="1354"/>
      <c r="Z8095" s="1060"/>
    </row>
    <row r="8096" spans="25:26">
      <c r="Y8096" s="1354"/>
      <c r="Z8096" s="1060"/>
    </row>
    <row r="8097" spans="25:26">
      <c r="Y8097" s="1354"/>
      <c r="Z8097" s="1060"/>
    </row>
    <row r="8098" spans="25:26">
      <c r="Y8098" s="1354"/>
      <c r="Z8098" s="1060"/>
    </row>
    <row r="8099" spans="25:26">
      <c r="Y8099" s="1354"/>
      <c r="Z8099" s="1060"/>
    </row>
    <row r="8100" spans="25:26">
      <c r="Y8100" s="1354"/>
      <c r="Z8100" s="1060"/>
    </row>
    <row r="8101" spans="25:26">
      <c r="Y8101" s="1354"/>
      <c r="Z8101" s="1060"/>
    </row>
    <row r="8102" spans="25:26">
      <c r="Y8102" s="1354"/>
      <c r="Z8102" s="1060"/>
    </row>
    <row r="8103" spans="25:26">
      <c r="Y8103" s="1354"/>
      <c r="Z8103" s="1060"/>
    </row>
    <row r="8104" spans="25:26">
      <c r="Y8104" s="1354"/>
      <c r="Z8104" s="1060"/>
    </row>
    <row r="8105" spans="25:26">
      <c r="Y8105" s="1354"/>
      <c r="Z8105" s="1060"/>
    </row>
    <row r="8106" spans="25:26">
      <c r="Y8106" s="1354"/>
      <c r="Z8106" s="1060"/>
    </row>
    <row r="8107" spans="25:26">
      <c r="Y8107" s="1354"/>
      <c r="Z8107" s="1060"/>
    </row>
    <row r="8108" spans="25:26">
      <c r="Y8108" s="1354"/>
      <c r="Z8108" s="1060"/>
    </row>
    <row r="8109" spans="25:26">
      <c r="Y8109" s="1354"/>
      <c r="Z8109" s="1060"/>
    </row>
    <row r="8110" spans="25:26">
      <c r="Y8110" s="1354"/>
      <c r="Z8110" s="1060"/>
    </row>
    <row r="8111" spans="25:26">
      <c r="Y8111" s="1354"/>
      <c r="Z8111" s="1060"/>
    </row>
    <row r="8112" spans="25:26">
      <c r="Y8112" s="1354"/>
      <c r="Z8112" s="1060"/>
    </row>
    <row r="8113" spans="25:26">
      <c r="Y8113" s="1354"/>
      <c r="Z8113" s="1060"/>
    </row>
    <row r="8114" spans="25:26">
      <c r="Y8114" s="1354"/>
      <c r="Z8114" s="1060"/>
    </row>
    <row r="8115" spans="25:26">
      <c r="Y8115" s="1354"/>
      <c r="Z8115" s="1060"/>
    </row>
    <row r="8116" spans="25:26">
      <c r="Y8116" s="1354"/>
      <c r="Z8116" s="1060"/>
    </row>
    <row r="8117" spans="25:26">
      <c r="Y8117" s="1354"/>
      <c r="Z8117" s="1060"/>
    </row>
    <row r="8118" spans="25:26">
      <c r="Y8118" s="1354"/>
      <c r="Z8118" s="1060"/>
    </row>
    <row r="8119" spans="25:26">
      <c r="Y8119" s="1354"/>
      <c r="Z8119" s="1060"/>
    </row>
    <row r="8120" spans="25:26">
      <c r="Y8120" s="1354"/>
      <c r="Z8120" s="1060"/>
    </row>
    <row r="8121" spans="25:26">
      <c r="Y8121" s="1354"/>
      <c r="Z8121" s="1060"/>
    </row>
    <row r="8122" spans="25:26">
      <c r="Y8122" s="1354"/>
      <c r="Z8122" s="1060"/>
    </row>
    <row r="8123" spans="25:26">
      <c r="Y8123" s="1354"/>
      <c r="Z8123" s="1060"/>
    </row>
    <row r="8124" spans="25:26">
      <c r="Y8124" s="1354"/>
      <c r="Z8124" s="1060"/>
    </row>
    <row r="8125" spans="25:26">
      <c r="Y8125" s="1354"/>
      <c r="Z8125" s="1060"/>
    </row>
    <row r="8126" spans="25:26">
      <c r="Y8126" s="1354"/>
      <c r="Z8126" s="1060"/>
    </row>
    <row r="8127" spans="25:26">
      <c r="Y8127" s="1354"/>
      <c r="Z8127" s="1060"/>
    </row>
    <row r="8128" spans="25:26">
      <c r="Y8128" s="1354"/>
      <c r="Z8128" s="1060"/>
    </row>
    <row r="8129" spans="25:26">
      <c r="Y8129" s="1354"/>
      <c r="Z8129" s="1060"/>
    </row>
    <row r="8130" spans="25:26">
      <c r="Y8130" s="1354"/>
      <c r="Z8130" s="1060"/>
    </row>
    <row r="8131" spans="25:26">
      <c r="Y8131" s="1354"/>
      <c r="Z8131" s="1060"/>
    </row>
    <row r="8132" spans="25:26">
      <c r="Y8132" s="1354"/>
      <c r="Z8132" s="1060"/>
    </row>
    <row r="8133" spans="25:26">
      <c r="Y8133" s="1354"/>
      <c r="Z8133" s="1060"/>
    </row>
    <row r="8134" spans="25:26">
      <c r="Y8134" s="1354"/>
      <c r="Z8134" s="1060"/>
    </row>
    <row r="8135" spans="25:26">
      <c r="Y8135" s="1354"/>
      <c r="Z8135" s="1060"/>
    </row>
    <row r="8136" spans="25:26">
      <c r="Y8136" s="1354"/>
      <c r="Z8136" s="1060"/>
    </row>
    <row r="8137" spans="25:26">
      <c r="Y8137" s="1354"/>
      <c r="Z8137" s="1060"/>
    </row>
    <row r="8138" spans="25:26">
      <c r="Y8138" s="1354"/>
      <c r="Z8138" s="1060"/>
    </row>
    <row r="8139" spans="25:26">
      <c r="Y8139" s="1354"/>
      <c r="Z8139" s="1060"/>
    </row>
    <row r="8140" spans="25:26">
      <c r="Y8140" s="1354"/>
      <c r="Z8140" s="1060"/>
    </row>
    <row r="8141" spans="25:26">
      <c r="Y8141" s="1354"/>
      <c r="Z8141" s="1060"/>
    </row>
    <row r="8142" spans="25:26">
      <c r="Y8142" s="1354"/>
      <c r="Z8142" s="1060"/>
    </row>
    <row r="8143" spans="25:26">
      <c r="Y8143" s="1354"/>
      <c r="Z8143" s="1060"/>
    </row>
    <row r="8144" spans="25:26">
      <c r="Y8144" s="1354"/>
      <c r="Z8144" s="1060"/>
    </row>
    <row r="8145" spans="25:26">
      <c r="Y8145" s="1354"/>
      <c r="Z8145" s="1060"/>
    </row>
    <row r="8146" spans="25:26">
      <c r="Y8146" s="1354"/>
      <c r="Z8146" s="1060"/>
    </row>
    <row r="8147" spans="25:26">
      <c r="Y8147" s="1354"/>
      <c r="Z8147" s="1060"/>
    </row>
    <row r="8148" spans="25:26">
      <c r="Y8148" s="1354"/>
      <c r="Z8148" s="1060"/>
    </row>
    <row r="8149" spans="25:26">
      <c r="Y8149" s="1354"/>
      <c r="Z8149" s="1060"/>
    </row>
    <row r="8150" spans="25:26">
      <c r="Y8150" s="1354"/>
      <c r="Z8150" s="1060"/>
    </row>
    <row r="8151" spans="25:26">
      <c r="Y8151" s="1354"/>
      <c r="Z8151" s="1060"/>
    </row>
    <row r="8152" spans="25:26">
      <c r="Y8152" s="1354"/>
      <c r="Z8152" s="1060"/>
    </row>
    <row r="8153" spans="25:26">
      <c r="Y8153" s="1354"/>
      <c r="Z8153" s="1060"/>
    </row>
    <row r="8154" spans="25:26">
      <c r="Y8154" s="1354"/>
      <c r="Z8154" s="1060"/>
    </row>
    <row r="8155" spans="25:26">
      <c r="Y8155" s="1354"/>
      <c r="Z8155" s="1060"/>
    </row>
    <row r="8156" spans="25:26">
      <c r="Y8156" s="1354"/>
      <c r="Z8156" s="1060"/>
    </row>
    <row r="8157" spans="25:26">
      <c r="Y8157" s="1354"/>
      <c r="Z8157" s="1060"/>
    </row>
    <row r="8158" spans="25:26">
      <c r="Y8158" s="1354"/>
      <c r="Z8158" s="1060"/>
    </row>
    <row r="8159" spans="25:26">
      <c r="Y8159" s="1354"/>
      <c r="Z8159" s="1060"/>
    </row>
    <row r="8160" spans="25:26">
      <c r="Y8160" s="1354"/>
      <c r="Z8160" s="1060"/>
    </row>
    <row r="8161" spans="25:26">
      <c r="Y8161" s="1354"/>
      <c r="Z8161" s="1060"/>
    </row>
    <row r="8162" spans="25:26">
      <c r="Y8162" s="1354"/>
      <c r="Z8162" s="1060"/>
    </row>
    <row r="8163" spans="25:26">
      <c r="Y8163" s="1354"/>
      <c r="Z8163" s="1060"/>
    </row>
    <row r="8164" spans="25:26">
      <c r="Y8164" s="1354"/>
      <c r="Z8164" s="1060"/>
    </row>
    <row r="8165" spans="25:26">
      <c r="Y8165" s="1354"/>
      <c r="Z8165" s="1060"/>
    </row>
    <row r="8166" spans="25:26">
      <c r="Y8166" s="1354"/>
      <c r="Z8166" s="1060"/>
    </row>
    <row r="8167" spans="25:26">
      <c r="Y8167" s="1354"/>
      <c r="Z8167" s="1060"/>
    </row>
    <row r="8168" spans="25:26">
      <c r="Y8168" s="1354"/>
      <c r="Z8168" s="1060"/>
    </row>
    <row r="8169" spans="25:26">
      <c r="Y8169" s="1354"/>
      <c r="Z8169" s="1060"/>
    </row>
    <row r="8170" spans="25:26">
      <c r="Y8170" s="1354"/>
      <c r="Z8170" s="1060"/>
    </row>
    <row r="8171" spans="25:26">
      <c r="Y8171" s="1354"/>
      <c r="Z8171" s="1060"/>
    </row>
    <row r="8172" spans="25:26">
      <c r="Y8172" s="1354"/>
      <c r="Z8172" s="1060"/>
    </row>
    <row r="8173" spans="25:26">
      <c r="Y8173" s="1354"/>
      <c r="Z8173" s="1060"/>
    </row>
    <row r="8174" spans="25:26">
      <c r="Y8174" s="1354"/>
      <c r="Z8174" s="1060"/>
    </row>
    <row r="8175" spans="25:26">
      <c r="Y8175" s="1354"/>
      <c r="Z8175" s="1060"/>
    </row>
    <row r="8176" spans="25:26">
      <c r="Y8176" s="1354"/>
      <c r="Z8176" s="1060"/>
    </row>
    <row r="8177" spans="25:26">
      <c r="Y8177" s="1354"/>
      <c r="Z8177" s="1060"/>
    </row>
    <row r="8178" spans="25:26">
      <c r="Y8178" s="1354"/>
      <c r="Z8178" s="1060"/>
    </row>
    <row r="8179" spans="25:26">
      <c r="Y8179" s="1354"/>
      <c r="Z8179" s="1060"/>
    </row>
    <row r="8180" spans="25:26">
      <c r="Y8180" s="1354"/>
      <c r="Z8180" s="1060"/>
    </row>
    <row r="8181" spans="25:26">
      <c r="Y8181" s="1354"/>
      <c r="Z8181" s="1060"/>
    </row>
    <row r="8182" spans="25:26">
      <c r="Y8182" s="1354"/>
      <c r="Z8182" s="1060"/>
    </row>
    <row r="8183" spans="25:26">
      <c r="Y8183" s="1354"/>
      <c r="Z8183" s="1060"/>
    </row>
    <row r="8184" spans="25:26">
      <c r="Y8184" s="1354"/>
      <c r="Z8184" s="1060"/>
    </row>
    <row r="8185" spans="25:26">
      <c r="Y8185" s="1354"/>
      <c r="Z8185" s="1060"/>
    </row>
    <row r="8186" spans="25:26">
      <c r="Y8186" s="1354"/>
      <c r="Z8186" s="1060"/>
    </row>
    <row r="8187" spans="25:26">
      <c r="Y8187" s="1354"/>
      <c r="Z8187" s="1060"/>
    </row>
    <row r="8188" spans="25:26">
      <c r="Y8188" s="1354"/>
      <c r="Z8188" s="1060"/>
    </row>
    <row r="8189" spans="25:26">
      <c r="Y8189" s="1354"/>
      <c r="Z8189" s="1060"/>
    </row>
    <row r="8190" spans="25:26">
      <c r="Y8190" s="1354"/>
      <c r="Z8190" s="1060"/>
    </row>
    <row r="8191" spans="25:26">
      <c r="Y8191" s="1354"/>
      <c r="Z8191" s="1060"/>
    </row>
    <row r="8192" spans="25:26">
      <c r="Y8192" s="1354"/>
      <c r="Z8192" s="1060"/>
    </row>
    <row r="8193" spans="25:26">
      <c r="Y8193" s="1354"/>
      <c r="Z8193" s="1060"/>
    </row>
    <row r="8194" spans="25:26">
      <c r="Y8194" s="1354"/>
      <c r="Z8194" s="1060"/>
    </row>
    <row r="8195" spans="25:26">
      <c r="Y8195" s="1354"/>
      <c r="Z8195" s="1060"/>
    </row>
    <row r="8196" spans="25:26">
      <c r="Y8196" s="1354"/>
      <c r="Z8196" s="1060"/>
    </row>
    <row r="8197" spans="25:26">
      <c r="Y8197" s="1354"/>
      <c r="Z8197" s="1060"/>
    </row>
    <row r="8198" spans="25:26">
      <c r="Y8198" s="1354"/>
      <c r="Z8198" s="1060"/>
    </row>
    <row r="8199" spans="25:26">
      <c r="Y8199" s="1354"/>
      <c r="Z8199" s="1060"/>
    </row>
    <row r="8200" spans="25:26">
      <c r="Y8200" s="1354"/>
      <c r="Z8200" s="1060"/>
    </row>
    <row r="8201" spans="25:26">
      <c r="Y8201" s="1354"/>
      <c r="Z8201" s="1060"/>
    </row>
    <row r="8202" spans="25:26">
      <c r="Y8202" s="1354"/>
      <c r="Z8202" s="1060"/>
    </row>
    <row r="8203" spans="25:26">
      <c r="Y8203" s="1354"/>
      <c r="Z8203" s="1060"/>
    </row>
    <row r="8204" spans="25:26">
      <c r="Y8204" s="1354"/>
      <c r="Z8204" s="1060"/>
    </row>
    <row r="8205" spans="25:26">
      <c r="Y8205" s="1354"/>
      <c r="Z8205" s="1060"/>
    </row>
    <row r="8206" spans="25:26">
      <c r="Y8206" s="1354"/>
      <c r="Z8206" s="1060"/>
    </row>
    <row r="8207" spans="25:26">
      <c r="Y8207" s="1354"/>
      <c r="Z8207" s="1060"/>
    </row>
    <row r="8208" spans="25:26">
      <c r="Y8208" s="1354"/>
      <c r="Z8208" s="1060"/>
    </row>
    <row r="8209" spans="25:26">
      <c r="Y8209" s="1354"/>
      <c r="Z8209" s="1060"/>
    </row>
    <row r="8210" spans="25:26">
      <c r="Y8210" s="1354"/>
      <c r="Z8210" s="1060"/>
    </row>
    <row r="8211" spans="25:26">
      <c r="Y8211" s="1354"/>
      <c r="Z8211" s="1060"/>
    </row>
    <row r="8212" spans="25:26">
      <c r="Y8212" s="1354"/>
      <c r="Z8212" s="1060"/>
    </row>
    <row r="8213" spans="25:26">
      <c r="Y8213" s="1354"/>
      <c r="Z8213" s="1060"/>
    </row>
    <row r="8214" spans="25:26">
      <c r="Y8214" s="1354"/>
      <c r="Z8214" s="1060"/>
    </row>
    <row r="8215" spans="25:26">
      <c r="Y8215" s="1354"/>
      <c r="Z8215" s="1060"/>
    </row>
    <row r="8216" spans="25:26">
      <c r="Y8216" s="1354"/>
      <c r="Z8216" s="1060"/>
    </row>
    <row r="8217" spans="25:26">
      <c r="Y8217" s="1354"/>
      <c r="Z8217" s="1060"/>
    </row>
    <row r="8218" spans="25:26">
      <c r="Y8218" s="1354"/>
      <c r="Z8218" s="1060"/>
    </row>
    <row r="8219" spans="25:26">
      <c r="Y8219" s="1354"/>
      <c r="Z8219" s="1060"/>
    </row>
    <row r="8220" spans="25:26">
      <c r="Y8220" s="1354"/>
      <c r="Z8220" s="1060"/>
    </row>
    <row r="8221" spans="25:26">
      <c r="Y8221" s="1354"/>
      <c r="Z8221" s="1060"/>
    </row>
    <row r="8222" spans="25:26">
      <c r="Y8222" s="1354"/>
      <c r="Z8222" s="1060"/>
    </row>
    <row r="8223" spans="25:26">
      <c r="Y8223" s="1354"/>
      <c r="Z8223" s="1060"/>
    </row>
    <row r="8224" spans="25:26">
      <c r="Y8224" s="1354"/>
      <c r="Z8224" s="1060"/>
    </row>
    <row r="8225" spans="25:26">
      <c r="Y8225" s="1354"/>
      <c r="Z8225" s="1060"/>
    </row>
    <row r="8226" spans="25:26">
      <c r="Y8226" s="1354"/>
      <c r="Z8226" s="1060"/>
    </row>
    <row r="8227" spans="25:26">
      <c r="Y8227" s="1354"/>
      <c r="Z8227" s="1060"/>
    </row>
    <row r="8228" spans="25:26">
      <c r="Y8228" s="1354"/>
      <c r="Z8228" s="1060"/>
    </row>
    <row r="8229" spans="25:26">
      <c r="Y8229" s="1354"/>
      <c r="Z8229" s="1060"/>
    </row>
    <row r="8230" spans="25:26">
      <c r="Y8230" s="1354"/>
      <c r="Z8230" s="1060"/>
    </row>
    <row r="8231" spans="25:26">
      <c r="Y8231" s="1354"/>
      <c r="Z8231" s="1060"/>
    </row>
    <row r="8232" spans="25:26">
      <c r="Y8232" s="1354"/>
      <c r="Z8232" s="1060"/>
    </row>
    <row r="8233" spans="25:26">
      <c r="Y8233" s="1354"/>
      <c r="Z8233" s="1060"/>
    </row>
    <row r="8234" spans="25:26">
      <c r="Y8234" s="1354"/>
      <c r="Z8234" s="1060"/>
    </row>
    <row r="8235" spans="25:26">
      <c r="Y8235" s="1354"/>
      <c r="Z8235" s="1060"/>
    </row>
    <row r="8236" spans="25:26">
      <c r="Y8236" s="1354"/>
      <c r="Z8236" s="1060"/>
    </row>
    <row r="8237" spans="25:26">
      <c r="Y8237" s="1354"/>
      <c r="Z8237" s="1060"/>
    </row>
    <row r="8238" spans="25:26">
      <c r="Y8238" s="1354"/>
      <c r="Z8238" s="1060"/>
    </row>
    <row r="8239" spans="25:26">
      <c r="Y8239" s="1354"/>
      <c r="Z8239" s="1060"/>
    </row>
    <row r="8240" spans="25:26">
      <c r="Y8240" s="1354"/>
      <c r="Z8240" s="1060"/>
    </row>
    <row r="8241" spans="25:26">
      <c r="Y8241" s="1354"/>
      <c r="Z8241" s="1060"/>
    </row>
    <row r="8242" spans="25:26">
      <c r="Y8242" s="1354"/>
      <c r="Z8242" s="1060"/>
    </row>
    <row r="8243" spans="25:26">
      <c r="Y8243" s="1354"/>
      <c r="Z8243" s="1060"/>
    </row>
    <row r="8244" spans="25:26">
      <c r="Y8244" s="1354"/>
      <c r="Z8244" s="1060"/>
    </row>
    <row r="8245" spans="25:26">
      <c r="Y8245" s="1354"/>
      <c r="Z8245" s="1060"/>
    </row>
    <row r="8246" spans="25:26">
      <c r="Y8246" s="1354"/>
      <c r="Z8246" s="1060"/>
    </row>
    <row r="8247" spans="25:26">
      <c r="Y8247" s="1354"/>
      <c r="Z8247" s="1060"/>
    </row>
    <row r="8248" spans="25:26">
      <c r="Y8248" s="1354"/>
      <c r="Z8248" s="1060"/>
    </row>
    <row r="8249" spans="25:26">
      <c r="Y8249" s="1354"/>
      <c r="Z8249" s="1060"/>
    </row>
    <row r="8250" spans="25:26">
      <c r="Y8250" s="1354"/>
      <c r="Z8250" s="1060"/>
    </row>
    <row r="8251" spans="25:26">
      <c r="Y8251" s="1354"/>
      <c r="Z8251" s="1060"/>
    </row>
    <row r="8252" spans="25:26">
      <c r="Y8252" s="1354"/>
      <c r="Z8252" s="1060"/>
    </row>
    <row r="8253" spans="25:26">
      <c r="Y8253" s="1354"/>
      <c r="Z8253" s="1060"/>
    </row>
    <row r="8254" spans="25:26">
      <c r="Y8254" s="1354"/>
      <c r="Z8254" s="1060"/>
    </row>
    <row r="8255" spans="25:26">
      <c r="Y8255" s="1354"/>
      <c r="Z8255" s="1060"/>
    </row>
    <row r="8256" spans="25:26">
      <c r="Y8256" s="1354"/>
      <c r="Z8256" s="1060"/>
    </row>
    <row r="8257" spans="25:26">
      <c r="Y8257" s="1354"/>
      <c r="Z8257" s="1060"/>
    </row>
    <row r="8258" spans="25:26">
      <c r="Y8258" s="1354"/>
      <c r="Z8258" s="1060"/>
    </row>
    <row r="8259" spans="25:26">
      <c r="Y8259" s="1354"/>
      <c r="Z8259" s="1060"/>
    </row>
    <row r="8260" spans="25:26">
      <c r="Y8260" s="1354"/>
      <c r="Z8260" s="1060"/>
    </row>
    <row r="8261" spans="25:26">
      <c r="Y8261" s="1354"/>
      <c r="Z8261" s="1060"/>
    </row>
    <row r="8262" spans="25:26">
      <c r="Y8262" s="1354"/>
      <c r="Z8262" s="1060"/>
    </row>
    <row r="8263" spans="25:26">
      <c r="Y8263" s="1354"/>
      <c r="Z8263" s="1060"/>
    </row>
    <row r="8264" spans="25:26">
      <c r="Y8264" s="1354"/>
      <c r="Z8264" s="1060"/>
    </row>
    <row r="8265" spans="25:26">
      <c r="Y8265" s="1354"/>
      <c r="Z8265" s="1060"/>
    </row>
    <row r="8266" spans="25:26">
      <c r="Y8266" s="1354"/>
      <c r="Z8266" s="1060"/>
    </row>
    <row r="8267" spans="25:26">
      <c r="Y8267" s="1354"/>
      <c r="Z8267" s="1060"/>
    </row>
    <row r="8268" spans="25:26">
      <c r="Y8268" s="1354"/>
      <c r="Z8268" s="1060"/>
    </row>
    <row r="8269" spans="25:26">
      <c r="Y8269" s="1354"/>
      <c r="Z8269" s="1060"/>
    </row>
    <row r="8270" spans="25:26">
      <c r="Y8270" s="1354"/>
      <c r="Z8270" s="1060"/>
    </row>
    <row r="8271" spans="25:26">
      <c r="Y8271" s="1354"/>
      <c r="Z8271" s="1060"/>
    </row>
    <row r="8272" spans="25:26">
      <c r="Y8272" s="1354"/>
      <c r="Z8272" s="1060"/>
    </row>
    <row r="8273" spans="25:26">
      <c r="Y8273" s="1354"/>
      <c r="Z8273" s="1060"/>
    </row>
    <row r="8274" spans="25:26">
      <c r="Y8274" s="1354"/>
      <c r="Z8274" s="1060"/>
    </row>
    <row r="8275" spans="25:26">
      <c r="Y8275" s="1354"/>
      <c r="Z8275" s="1060"/>
    </row>
    <row r="8276" spans="25:26">
      <c r="Y8276" s="1354"/>
      <c r="Z8276" s="1060"/>
    </row>
    <row r="8277" spans="25:26">
      <c r="Y8277" s="1354"/>
      <c r="Z8277" s="1060"/>
    </row>
    <row r="8278" spans="25:26">
      <c r="Y8278" s="1354"/>
      <c r="Z8278" s="1060"/>
    </row>
    <row r="8279" spans="25:26">
      <c r="Y8279" s="1354"/>
      <c r="Z8279" s="1060"/>
    </row>
    <row r="8280" spans="25:26">
      <c r="Y8280" s="1354"/>
      <c r="Z8280" s="1060"/>
    </row>
    <row r="8281" spans="25:26">
      <c r="Y8281" s="1354"/>
      <c r="Z8281" s="1060"/>
    </row>
    <row r="8282" spans="25:26">
      <c r="Y8282" s="1354"/>
      <c r="Z8282" s="1060"/>
    </row>
    <row r="8283" spans="25:26">
      <c r="Y8283" s="1354"/>
      <c r="Z8283" s="1060"/>
    </row>
    <row r="8284" spans="25:26">
      <c r="Y8284" s="1354"/>
      <c r="Z8284" s="1060"/>
    </row>
    <row r="8285" spans="25:26">
      <c r="Y8285" s="1354"/>
      <c r="Z8285" s="1060"/>
    </row>
    <row r="8286" spans="25:26">
      <c r="Y8286" s="1354"/>
      <c r="Z8286" s="1060"/>
    </row>
    <row r="8287" spans="25:26">
      <c r="Y8287" s="1354"/>
      <c r="Z8287" s="1060"/>
    </row>
    <row r="8288" spans="25:26">
      <c r="Y8288" s="1354"/>
      <c r="Z8288" s="1060"/>
    </row>
    <row r="8289" spans="25:26">
      <c r="Y8289" s="1354"/>
      <c r="Z8289" s="1060"/>
    </row>
    <row r="8290" spans="25:26">
      <c r="Y8290" s="1354"/>
      <c r="Z8290" s="1060"/>
    </row>
    <row r="8291" spans="25:26">
      <c r="Y8291" s="1354"/>
      <c r="Z8291" s="1060"/>
    </row>
    <row r="8292" spans="25:26">
      <c r="Y8292" s="1354"/>
      <c r="Z8292" s="1060"/>
    </row>
    <row r="8293" spans="25:26">
      <c r="Y8293" s="1354"/>
      <c r="Z8293" s="1060"/>
    </row>
    <row r="8294" spans="25:26">
      <c r="Y8294" s="1354"/>
      <c r="Z8294" s="1060"/>
    </row>
    <row r="8295" spans="25:26">
      <c r="Y8295" s="1354"/>
      <c r="Z8295" s="1060"/>
    </row>
    <row r="8296" spans="25:26">
      <c r="Y8296" s="1354"/>
      <c r="Z8296" s="1060"/>
    </row>
    <row r="8297" spans="25:26">
      <c r="Y8297" s="1354"/>
      <c r="Z8297" s="1060"/>
    </row>
    <row r="8298" spans="25:26">
      <c r="Y8298" s="1354"/>
      <c r="Z8298" s="1060"/>
    </row>
    <row r="8299" spans="25:26">
      <c r="Y8299" s="1354"/>
      <c r="Z8299" s="1060"/>
    </row>
    <row r="8300" spans="25:26">
      <c r="Y8300" s="1354"/>
      <c r="Z8300" s="1060"/>
    </row>
    <row r="8301" spans="25:26">
      <c r="Y8301" s="1354"/>
      <c r="Z8301" s="1060"/>
    </row>
    <row r="8302" spans="25:26">
      <c r="Y8302" s="1354"/>
      <c r="Z8302" s="1060"/>
    </row>
    <row r="8303" spans="25:26">
      <c r="Y8303" s="1354"/>
      <c r="Z8303" s="1060"/>
    </row>
    <row r="8304" spans="25:26">
      <c r="Y8304" s="1354"/>
      <c r="Z8304" s="1060"/>
    </row>
    <row r="8305" spans="25:26">
      <c r="Y8305" s="1354"/>
      <c r="Z8305" s="1060"/>
    </row>
    <row r="8306" spans="25:26">
      <c r="Y8306" s="1354"/>
      <c r="Z8306" s="1060"/>
    </row>
    <row r="8307" spans="25:26">
      <c r="Y8307" s="1354"/>
      <c r="Z8307" s="1060"/>
    </row>
    <row r="8308" spans="25:26">
      <c r="Y8308" s="1354"/>
      <c r="Z8308" s="1060"/>
    </row>
    <row r="8309" spans="25:26">
      <c r="Y8309" s="1354"/>
      <c r="Z8309" s="1060"/>
    </row>
    <row r="8310" spans="25:26">
      <c r="Y8310" s="1354"/>
      <c r="Z8310" s="1060"/>
    </row>
    <row r="8311" spans="25:26">
      <c r="Y8311" s="1354"/>
      <c r="Z8311" s="1060"/>
    </row>
    <row r="8312" spans="25:26">
      <c r="Y8312" s="1354"/>
      <c r="Z8312" s="1060"/>
    </row>
    <row r="8313" spans="25:26">
      <c r="Y8313" s="1354"/>
      <c r="Z8313" s="1060"/>
    </row>
    <row r="8314" spans="25:26">
      <c r="Y8314" s="1354"/>
      <c r="Z8314" s="1060"/>
    </row>
    <row r="8315" spans="25:26">
      <c r="Y8315" s="1354"/>
      <c r="Z8315" s="1060"/>
    </row>
    <row r="8316" spans="25:26">
      <c r="Y8316" s="1354"/>
      <c r="Z8316" s="1060"/>
    </row>
    <row r="8317" spans="25:26">
      <c r="Y8317" s="1354"/>
      <c r="Z8317" s="1060"/>
    </row>
    <row r="8318" spans="25:26">
      <c r="Y8318" s="1354"/>
      <c r="Z8318" s="1060"/>
    </row>
    <row r="8319" spans="25:26">
      <c r="Y8319" s="1354"/>
      <c r="Z8319" s="1060"/>
    </row>
    <row r="8320" spans="25:26">
      <c r="Y8320" s="1354"/>
      <c r="Z8320" s="1060"/>
    </row>
    <row r="8321" spans="25:26">
      <c r="Y8321" s="1354"/>
      <c r="Z8321" s="1060"/>
    </row>
    <row r="8322" spans="25:26">
      <c r="Y8322" s="1354"/>
      <c r="Z8322" s="1060"/>
    </row>
    <row r="8323" spans="25:26">
      <c r="Y8323" s="1354"/>
      <c r="Z8323" s="1060"/>
    </row>
    <row r="8324" spans="25:26">
      <c r="Y8324" s="1354"/>
      <c r="Z8324" s="1060"/>
    </row>
    <row r="8325" spans="25:26">
      <c r="Y8325" s="1354"/>
      <c r="Z8325" s="1060"/>
    </row>
    <row r="8326" spans="25:26">
      <c r="Y8326" s="1354"/>
      <c r="Z8326" s="1060"/>
    </row>
    <row r="8327" spans="25:26">
      <c r="Y8327" s="1354"/>
      <c r="Z8327" s="1060"/>
    </row>
    <row r="8328" spans="25:26">
      <c r="Y8328" s="1354"/>
      <c r="Z8328" s="1060"/>
    </row>
    <row r="8329" spans="25:26">
      <c r="Y8329" s="1354"/>
      <c r="Z8329" s="1060"/>
    </row>
    <row r="8330" spans="25:26">
      <c r="Y8330" s="1354"/>
      <c r="Z8330" s="1060"/>
    </row>
    <row r="8331" spans="25:26">
      <c r="Y8331" s="1354"/>
      <c r="Z8331" s="1060"/>
    </row>
    <row r="8332" spans="25:26">
      <c r="Y8332" s="1354"/>
      <c r="Z8332" s="1060"/>
    </row>
    <row r="8333" spans="25:26">
      <c r="Y8333" s="1354"/>
      <c r="Z8333" s="1060"/>
    </row>
    <row r="8334" spans="25:26">
      <c r="Y8334" s="1354"/>
      <c r="Z8334" s="1060"/>
    </row>
    <row r="8335" spans="25:26">
      <c r="Y8335" s="1354"/>
      <c r="Z8335" s="1060"/>
    </row>
    <row r="8336" spans="25:26">
      <c r="Y8336" s="1354"/>
      <c r="Z8336" s="1060"/>
    </row>
    <row r="8337" spans="25:26">
      <c r="Y8337" s="1354"/>
      <c r="Z8337" s="1060"/>
    </row>
    <row r="8338" spans="25:26">
      <c r="Y8338" s="1354"/>
      <c r="Z8338" s="1060"/>
    </row>
    <row r="8339" spans="25:26">
      <c r="Y8339" s="1354"/>
      <c r="Z8339" s="1060"/>
    </row>
    <row r="8340" spans="25:26">
      <c r="Y8340" s="1354"/>
      <c r="Z8340" s="1060"/>
    </row>
    <row r="8341" spans="25:26">
      <c r="Y8341" s="1354"/>
      <c r="Z8341" s="1060"/>
    </row>
    <row r="8342" spans="25:26">
      <c r="Y8342" s="1354"/>
      <c r="Z8342" s="1060"/>
    </row>
    <row r="8343" spans="25:26">
      <c r="Y8343" s="1354"/>
      <c r="Z8343" s="1060"/>
    </row>
    <row r="8344" spans="25:26">
      <c r="Y8344" s="1354"/>
      <c r="Z8344" s="1060"/>
    </row>
    <row r="8345" spans="25:26">
      <c r="Y8345" s="1354"/>
      <c r="Z8345" s="1060"/>
    </row>
    <row r="8346" spans="25:26">
      <c r="Y8346" s="1354"/>
      <c r="Z8346" s="1060"/>
    </row>
    <row r="8347" spans="25:26">
      <c r="Y8347" s="1354"/>
      <c r="Z8347" s="1060"/>
    </row>
    <row r="8348" spans="25:26">
      <c r="Y8348" s="1354"/>
      <c r="Z8348" s="1060"/>
    </row>
    <row r="8349" spans="25:26">
      <c r="Y8349" s="1354"/>
      <c r="Z8349" s="1060"/>
    </row>
    <row r="8350" spans="25:26">
      <c r="Y8350" s="1354"/>
      <c r="Z8350" s="1060"/>
    </row>
    <row r="8351" spans="25:26">
      <c r="Y8351" s="1354"/>
      <c r="Z8351" s="1060"/>
    </row>
    <row r="8352" spans="25:26">
      <c r="Y8352" s="1354"/>
      <c r="Z8352" s="1060"/>
    </row>
    <row r="8353" spans="25:26">
      <c r="Y8353" s="1354"/>
      <c r="Z8353" s="1060"/>
    </row>
    <row r="8354" spans="25:26">
      <c r="Y8354" s="1354"/>
      <c r="Z8354" s="1060"/>
    </row>
    <row r="8355" spans="25:26">
      <c r="Y8355" s="1354"/>
      <c r="Z8355" s="1060"/>
    </row>
    <row r="8356" spans="25:26">
      <c r="Y8356" s="1354"/>
      <c r="Z8356" s="1060"/>
    </row>
    <row r="8357" spans="25:26">
      <c r="Y8357" s="1354"/>
      <c r="Z8357" s="1060"/>
    </row>
    <row r="8358" spans="25:26">
      <c r="Y8358" s="1354"/>
      <c r="Z8358" s="1060"/>
    </row>
    <row r="8359" spans="25:26">
      <c r="Y8359" s="1354"/>
      <c r="Z8359" s="1060"/>
    </row>
    <row r="8360" spans="25:26">
      <c r="Y8360" s="1354"/>
      <c r="Z8360" s="1060"/>
    </row>
    <row r="8361" spans="25:26">
      <c r="Y8361" s="1354"/>
      <c r="Z8361" s="1060"/>
    </row>
    <row r="8362" spans="25:26">
      <c r="Y8362" s="1354"/>
      <c r="Z8362" s="1060"/>
    </row>
    <row r="8363" spans="25:26">
      <c r="Y8363" s="1354"/>
      <c r="Z8363" s="1060"/>
    </row>
    <row r="8364" spans="25:26">
      <c r="Y8364" s="1354"/>
      <c r="Z8364" s="1060"/>
    </row>
    <row r="8365" spans="25:26">
      <c r="Y8365" s="1354"/>
      <c r="Z8365" s="1060"/>
    </row>
    <row r="8366" spans="25:26">
      <c r="Y8366" s="1354"/>
      <c r="Z8366" s="1060"/>
    </row>
    <row r="8367" spans="25:26">
      <c r="Y8367" s="1354"/>
      <c r="Z8367" s="1060"/>
    </row>
    <row r="8368" spans="25:26">
      <c r="Y8368" s="1354"/>
      <c r="Z8368" s="1060"/>
    </row>
    <row r="8369" spans="25:26">
      <c r="Y8369" s="1354"/>
      <c r="Z8369" s="1060"/>
    </row>
    <row r="8370" spans="25:26">
      <c r="Y8370" s="1354"/>
      <c r="Z8370" s="1060"/>
    </row>
    <row r="8371" spans="25:26">
      <c r="Y8371" s="1354"/>
      <c r="Z8371" s="1060"/>
    </row>
    <row r="8372" spans="25:26">
      <c r="Y8372" s="1354"/>
      <c r="Z8372" s="1060"/>
    </row>
    <row r="8373" spans="25:26">
      <c r="Y8373" s="1354"/>
      <c r="Z8373" s="1060"/>
    </row>
    <row r="8374" spans="25:26">
      <c r="Y8374" s="1354"/>
      <c r="Z8374" s="1060"/>
    </row>
    <row r="8375" spans="25:26">
      <c r="Y8375" s="1354"/>
      <c r="Z8375" s="1060"/>
    </row>
    <row r="8376" spans="25:26">
      <c r="Y8376" s="1354"/>
      <c r="Z8376" s="1060"/>
    </row>
    <row r="8377" spans="25:26">
      <c r="Y8377" s="1354"/>
      <c r="Z8377" s="1060"/>
    </row>
    <row r="8378" spans="25:26">
      <c r="Y8378" s="1354"/>
      <c r="Z8378" s="1060"/>
    </row>
    <row r="8379" spans="25:26">
      <c r="Y8379" s="1354"/>
      <c r="Z8379" s="1060"/>
    </row>
    <row r="8380" spans="25:26">
      <c r="Y8380" s="1354"/>
      <c r="Z8380" s="1060"/>
    </row>
    <row r="8381" spans="25:26">
      <c r="Y8381" s="1354"/>
      <c r="Z8381" s="1060"/>
    </row>
    <row r="8382" spans="25:26">
      <c r="Y8382" s="1354"/>
      <c r="Z8382" s="1060"/>
    </row>
    <row r="8383" spans="25:26">
      <c r="Y8383" s="1354"/>
      <c r="Z8383" s="1060"/>
    </row>
    <row r="8384" spans="25:26">
      <c r="Y8384" s="1354"/>
      <c r="Z8384" s="1060"/>
    </row>
    <row r="8385" spans="25:26">
      <c r="Y8385" s="1354"/>
      <c r="Z8385" s="1060"/>
    </row>
    <row r="8386" spans="25:26">
      <c r="Y8386" s="1354"/>
      <c r="Z8386" s="1060"/>
    </row>
    <row r="8387" spans="25:26">
      <c r="Y8387" s="1354"/>
      <c r="Z8387" s="1060"/>
    </row>
    <row r="8388" spans="25:26">
      <c r="Y8388" s="1354"/>
      <c r="Z8388" s="1060"/>
    </row>
    <row r="8389" spans="25:26">
      <c r="Y8389" s="1354"/>
      <c r="Z8389" s="1060"/>
    </row>
    <row r="8390" spans="25:26">
      <c r="Y8390" s="1354"/>
      <c r="Z8390" s="1060"/>
    </row>
    <row r="8391" spans="25:26">
      <c r="Y8391" s="1354"/>
      <c r="Z8391" s="1060"/>
    </row>
    <row r="8392" spans="25:26">
      <c r="Y8392" s="1354"/>
      <c r="Z8392" s="1060"/>
    </row>
    <row r="8393" spans="25:26">
      <c r="Y8393" s="1354"/>
      <c r="Z8393" s="1060"/>
    </row>
    <row r="8394" spans="25:26">
      <c r="Y8394" s="1354"/>
      <c r="Z8394" s="1060"/>
    </row>
    <row r="8395" spans="25:26">
      <c r="Y8395" s="1354"/>
      <c r="Z8395" s="1060"/>
    </row>
    <row r="8396" spans="25:26">
      <c r="Y8396" s="1354"/>
      <c r="Z8396" s="1060"/>
    </row>
    <row r="8397" spans="25:26">
      <c r="Y8397" s="1354"/>
      <c r="Z8397" s="1060"/>
    </row>
    <row r="8398" spans="25:26">
      <c r="Y8398" s="1354"/>
      <c r="Z8398" s="1060"/>
    </row>
    <row r="8399" spans="25:26">
      <c r="Y8399" s="1354"/>
      <c r="Z8399" s="1060"/>
    </row>
    <row r="8400" spans="25:26">
      <c r="Y8400" s="1354"/>
      <c r="Z8400" s="1060"/>
    </row>
    <row r="8401" spans="25:26">
      <c r="Y8401" s="1354"/>
      <c r="Z8401" s="1060"/>
    </row>
    <row r="8402" spans="25:26">
      <c r="Y8402" s="1354"/>
      <c r="Z8402" s="1060"/>
    </row>
    <row r="8403" spans="25:26">
      <c r="Y8403" s="1354"/>
      <c r="Z8403" s="1060"/>
    </row>
    <row r="8404" spans="25:26">
      <c r="Y8404" s="1354"/>
      <c r="Z8404" s="1060"/>
    </row>
    <row r="8405" spans="25:26">
      <c r="Y8405" s="1354"/>
      <c r="Z8405" s="1060"/>
    </row>
    <row r="8406" spans="25:26">
      <c r="Y8406" s="1354"/>
      <c r="Z8406" s="1060"/>
    </row>
    <row r="8407" spans="25:26">
      <c r="Y8407" s="1354"/>
      <c r="Z8407" s="1060"/>
    </row>
    <row r="8408" spans="25:26">
      <c r="Y8408" s="1354"/>
      <c r="Z8408" s="1060"/>
    </row>
    <row r="8409" spans="25:26">
      <c r="Y8409" s="1354"/>
      <c r="Z8409" s="1060"/>
    </row>
    <row r="8410" spans="25:26">
      <c r="Y8410" s="1354"/>
      <c r="Z8410" s="1060"/>
    </row>
    <row r="8411" spans="25:26">
      <c r="Y8411" s="1354"/>
      <c r="Z8411" s="1060"/>
    </row>
    <row r="8412" spans="25:26">
      <c r="Y8412" s="1354"/>
      <c r="Z8412" s="1060"/>
    </row>
    <row r="8413" spans="25:26">
      <c r="Y8413" s="1354"/>
      <c r="Z8413" s="1060"/>
    </row>
    <row r="8414" spans="25:26">
      <c r="Y8414" s="1354"/>
      <c r="Z8414" s="1060"/>
    </row>
    <row r="8415" spans="25:26">
      <c r="Y8415" s="1354"/>
      <c r="Z8415" s="1060"/>
    </row>
    <row r="8416" spans="25:26">
      <c r="Y8416" s="1354"/>
      <c r="Z8416" s="1060"/>
    </row>
    <row r="8417" spans="25:26">
      <c r="Y8417" s="1354"/>
      <c r="Z8417" s="1060"/>
    </row>
    <row r="8418" spans="25:26">
      <c r="Y8418" s="1354"/>
      <c r="Z8418" s="1060"/>
    </row>
    <row r="8419" spans="25:26">
      <c r="Y8419" s="1354"/>
      <c r="Z8419" s="1060"/>
    </row>
    <row r="8420" spans="25:26">
      <c r="Y8420" s="1354"/>
      <c r="Z8420" s="1060"/>
    </row>
    <row r="8421" spans="25:26">
      <c r="Y8421" s="1354"/>
      <c r="Z8421" s="1060"/>
    </row>
    <row r="8422" spans="25:26">
      <c r="Y8422" s="1354"/>
      <c r="Z8422" s="1060"/>
    </row>
    <row r="8423" spans="25:26">
      <c r="Y8423" s="1354"/>
      <c r="Z8423" s="1060"/>
    </row>
    <row r="8424" spans="25:26">
      <c r="Y8424" s="1354"/>
      <c r="Z8424" s="1060"/>
    </row>
    <row r="8425" spans="25:26">
      <c r="Y8425" s="1354"/>
      <c r="Z8425" s="1060"/>
    </row>
    <row r="8426" spans="25:26">
      <c r="Y8426" s="1354"/>
      <c r="Z8426" s="1060"/>
    </row>
    <row r="8427" spans="25:26">
      <c r="Y8427" s="1354"/>
      <c r="Z8427" s="1060"/>
    </row>
    <row r="8428" spans="25:26">
      <c r="Y8428" s="1354"/>
      <c r="Z8428" s="1060"/>
    </row>
    <row r="8429" spans="25:26">
      <c r="Y8429" s="1354"/>
      <c r="Z8429" s="1060"/>
    </row>
    <row r="8430" spans="25:26">
      <c r="Y8430" s="1354"/>
      <c r="Z8430" s="1060"/>
    </row>
    <row r="8431" spans="25:26">
      <c r="Y8431" s="1354"/>
      <c r="Z8431" s="1060"/>
    </row>
    <row r="8432" spans="25:26">
      <c r="Y8432" s="1354"/>
      <c r="Z8432" s="1060"/>
    </row>
    <row r="8433" spans="25:26">
      <c r="Y8433" s="1354"/>
      <c r="Z8433" s="1060"/>
    </row>
    <row r="8434" spans="25:26">
      <c r="Y8434" s="1354"/>
      <c r="Z8434" s="1060"/>
    </row>
    <row r="8435" spans="25:26">
      <c r="Y8435" s="1354"/>
      <c r="Z8435" s="1060"/>
    </row>
    <row r="8436" spans="25:26">
      <c r="Y8436" s="1354"/>
      <c r="Z8436" s="1060"/>
    </row>
    <row r="8437" spans="25:26">
      <c r="Y8437" s="1354"/>
      <c r="Z8437" s="1060"/>
    </row>
    <row r="8438" spans="25:26">
      <c r="Y8438" s="1354"/>
      <c r="Z8438" s="1060"/>
    </row>
    <row r="8439" spans="25:26">
      <c r="Y8439" s="1354"/>
      <c r="Z8439" s="1060"/>
    </row>
    <row r="8440" spans="25:26">
      <c r="Y8440" s="1354"/>
      <c r="Z8440" s="1060"/>
    </row>
    <row r="8441" spans="25:26">
      <c r="Y8441" s="1354"/>
      <c r="Z8441" s="1060"/>
    </row>
    <row r="8442" spans="25:26">
      <c r="Y8442" s="1354"/>
      <c r="Z8442" s="1060"/>
    </row>
    <row r="8443" spans="25:26">
      <c r="Y8443" s="1354"/>
      <c r="Z8443" s="1060"/>
    </row>
    <row r="8444" spans="25:26">
      <c r="Y8444" s="1354"/>
      <c r="Z8444" s="1060"/>
    </row>
    <row r="8445" spans="25:26">
      <c r="Y8445" s="1354"/>
      <c r="Z8445" s="1060"/>
    </row>
    <row r="8446" spans="25:26">
      <c r="Y8446" s="1354"/>
      <c r="Z8446" s="1060"/>
    </row>
    <row r="8447" spans="25:26">
      <c r="Y8447" s="1354"/>
      <c r="Z8447" s="1060"/>
    </row>
    <row r="8448" spans="25:26">
      <c r="Y8448" s="1354"/>
      <c r="Z8448" s="1060"/>
    </row>
    <row r="8449" spans="25:26">
      <c r="Y8449" s="1354"/>
      <c r="Z8449" s="1060"/>
    </row>
    <row r="8450" spans="25:26">
      <c r="Y8450" s="1354"/>
      <c r="Z8450" s="1060"/>
    </row>
    <row r="8451" spans="25:26">
      <c r="Y8451" s="1354"/>
      <c r="Z8451" s="1060"/>
    </row>
    <row r="8452" spans="25:26">
      <c r="Y8452" s="1354"/>
      <c r="Z8452" s="1060"/>
    </row>
    <row r="8453" spans="25:26">
      <c r="Y8453" s="1354"/>
      <c r="Z8453" s="1060"/>
    </row>
    <row r="8454" spans="25:26">
      <c r="Y8454" s="1354"/>
      <c r="Z8454" s="1060"/>
    </row>
    <row r="8455" spans="25:26">
      <c r="Y8455" s="1354"/>
      <c r="Z8455" s="1060"/>
    </row>
    <row r="8456" spans="25:26">
      <c r="Y8456" s="1354"/>
      <c r="Z8456" s="1060"/>
    </row>
    <row r="8457" spans="25:26">
      <c r="Y8457" s="1354"/>
      <c r="Z8457" s="1060"/>
    </row>
    <row r="8458" spans="25:26">
      <c r="Y8458" s="1354"/>
      <c r="Z8458" s="1060"/>
    </row>
    <row r="8459" spans="25:26">
      <c r="Y8459" s="1354"/>
      <c r="Z8459" s="1060"/>
    </row>
    <row r="8460" spans="25:26">
      <c r="Y8460" s="1354"/>
      <c r="Z8460" s="1060"/>
    </row>
    <row r="8461" spans="25:26">
      <c r="Y8461" s="1354"/>
      <c r="Z8461" s="1060"/>
    </row>
    <row r="8462" spans="25:26">
      <c r="Y8462" s="1354"/>
      <c r="Z8462" s="1060"/>
    </row>
    <row r="8463" spans="25:26">
      <c r="Y8463" s="1354"/>
      <c r="Z8463" s="1060"/>
    </row>
    <row r="8464" spans="25:26">
      <c r="Y8464" s="1354"/>
      <c r="Z8464" s="1060"/>
    </row>
    <row r="8465" spans="25:26">
      <c r="Y8465" s="1354"/>
      <c r="Z8465" s="1060"/>
    </row>
    <row r="8466" spans="25:26">
      <c r="Y8466" s="1354"/>
      <c r="Z8466" s="1060"/>
    </row>
    <row r="8467" spans="25:26">
      <c r="Y8467" s="1354"/>
      <c r="Z8467" s="1060"/>
    </row>
    <row r="8468" spans="25:26">
      <c r="Y8468" s="1354"/>
      <c r="Z8468" s="1060"/>
    </row>
    <row r="8469" spans="25:26">
      <c r="Y8469" s="1354"/>
      <c r="Z8469" s="1060"/>
    </row>
    <row r="8470" spans="25:26">
      <c r="Y8470" s="1354"/>
      <c r="Z8470" s="1060"/>
    </row>
    <row r="8471" spans="25:26">
      <c r="Y8471" s="1354"/>
      <c r="Z8471" s="1060"/>
    </row>
    <row r="8472" spans="25:26">
      <c r="Y8472" s="1354"/>
      <c r="Z8472" s="1060"/>
    </row>
    <row r="8473" spans="25:26">
      <c r="Y8473" s="1354"/>
      <c r="Z8473" s="1060"/>
    </row>
    <row r="8474" spans="25:26">
      <c r="Y8474" s="1354"/>
      <c r="Z8474" s="1060"/>
    </row>
    <row r="8475" spans="25:26">
      <c r="Y8475" s="1354"/>
      <c r="Z8475" s="1060"/>
    </row>
    <row r="8476" spans="25:26">
      <c r="Y8476" s="1354"/>
      <c r="Z8476" s="1060"/>
    </row>
    <row r="8477" spans="25:26">
      <c r="Y8477" s="1354"/>
      <c r="Z8477" s="1060"/>
    </row>
    <row r="8478" spans="25:26">
      <c r="Y8478" s="1354"/>
      <c r="Z8478" s="1060"/>
    </row>
    <row r="8479" spans="25:26">
      <c r="Y8479" s="1354"/>
      <c r="Z8479" s="1060"/>
    </row>
    <row r="8480" spans="25:26">
      <c r="Y8480" s="1354"/>
      <c r="Z8480" s="1060"/>
    </row>
    <row r="8481" spans="25:26">
      <c r="Y8481" s="1354"/>
      <c r="Z8481" s="1060"/>
    </row>
    <row r="8482" spans="25:26">
      <c r="Y8482" s="1354"/>
      <c r="Z8482" s="1060"/>
    </row>
    <row r="8483" spans="25:26">
      <c r="Y8483" s="1354"/>
      <c r="Z8483" s="1060"/>
    </row>
    <row r="8484" spans="25:26">
      <c r="Y8484" s="1354"/>
      <c r="Z8484" s="1060"/>
    </row>
    <row r="8485" spans="25:26">
      <c r="Y8485" s="1354"/>
      <c r="Z8485" s="1060"/>
    </row>
    <row r="8486" spans="25:26">
      <c r="Y8486" s="1354"/>
      <c r="Z8486" s="1060"/>
    </row>
    <row r="8487" spans="25:26">
      <c r="Y8487" s="1354"/>
      <c r="Z8487" s="1060"/>
    </row>
    <row r="8488" spans="25:26">
      <c r="Y8488" s="1354"/>
      <c r="Z8488" s="1060"/>
    </row>
    <row r="8489" spans="25:26">
      <c r="Y8489" s="1354"/>
      <c r="Z8489" s="1060"/>
    </row>
    <row r="8490" spans="25:26">
      <c r="Y8490" s="1354"/>
      <c r="Z8490" s="1060"/>
    </row>
    <row r="8491" spans="25:26">
      <c r="Y8491" s="1354"/>
      <c r="Z8491" s="1060"/>
    </row>
    <row r="8492" spans="25:26">
      <c r="Y8492" s="1354"/>
      <c r="Z8492" s="1060"/>
    </row>
    <row r="8493" spans="25:26">
      <c r="Y8493" s="1354"/>
      <c r="Z8493" s="1060"/>
    </row>
    <row r="8494" spans="25:26">
      <c r="Y8494" s="1354"/>
      <c r="Z8494" s="1060"/>
    </row>
    <row r="8495" spans="25:26">
      <c r="Y8495" s="1354"/>
      <c r="Z8495" s="1060"/>
    </row>
    <row r="8496" spans="25:26">
      <c r="Y8496" s="1354"/>
      <c r="Z8496" s="1060"/>
    </row>
    <row r="8497" spans="25:26">
      <c r="Y8497" s="1354"/>
      <c r="Z8497" s="1060"/>
    </row>
    <row r="8498" spans="25:26">
      <c r="Y8498" s="1354"/>
      <c r="Z8498" s="1060"/>
    </row>
    <row r="8499" spans="25:26">
      <c r="Y8499" s="1354"/>
      <c r="Z8499" s="1060"/>
    </row>
    <row r="8500" spans="25:26">
      <c r="Y8500" s="1354"/>
      <c r="Z8500" s="1060"/>
    </row>
    <row r="8501" spans="25:26">
      <c r="Y8501" s="1354"/>
      <c r="Z8501" s="1060"/>
    </row>
    <row r="8502" spans="25:26">
      <c r="Y8502" s="1354"/>
      <c r="Z8502" s="1060"/>
    </row>
    <row r="8503" spans="25:26">
      <c r="Y8503" s="1354"/>
      <c r="Z8503" s="1060"/>
    </row>
    <row r="8504" spans="25:26">
      <c r="Y8504" s="1354"/>
      <c r="Z8504" s="1060"/>
    </row>
    <row r="8505" spans="25:26">
      <c r="Y8505" s="1354"/>
      <c r="Z8505" s="1060"/>
    </row>
    <row r="8506" spans="25:26">
      <c r="Y8506" s="1354"/>
      <c r="Z8506" s="1060"/>
    </row>
    <row r="8507" spans="25:26">
      <c r="Y8507" s="1354"/>
      <c r="Z8507" s="1060"/>
    </row>
    <row r="8508" spans="25:26">
      <c r="Y8508" s="1354"/>
      <c r="Z8508" s="1060"/>
    </row>
    <row r="8509" spans="25:26">
      <c r="Y8509" s="1354"/>
      <c r="Z8509" s="1060"/>
    </row>
    <row r="8510" spans="25:26">
      <c r="Y8510" s="1354"/>
      <c r="Z8510" s="1060"/>
    </row>
    <row r="8511" spans="25:26">
      <c r="Y8511" s="1354"/>
      <c r="Z8511" s="1060"/>
    </row>
    <row r="8512" spans="25:26">
      <c r="Y8512" s="1354"/>
      <c r="Z8512" s="1060"/>
    </row>
    <row r="8513" spans="25:26">
      <c r="Y8513" s="1354"/>
      <c r="Z8513" s="1060"/>
    </row>
    <row r="8514" spans="25:26">
      <c r="Y8514" s="1354"/>
      <c r="Z8514" s="1060"/>
    </row>
    <row r="8515" spans="25:26">
      <c r="Y8515" s="1354"/>
      <c r="Z8515" s="1060"/>
    </row>
    <row r="8516" spans="25:26">
      <c r="Y8516" s="1354"/>
      <c r="Z8516" s="1060"/>
    </row>
    <row r="8517" spans="25:26">
      <c r="Y8517" s="1354"/>
      <c r="Z8517" s="1060"/>
    </row>
    <row r="8518" spans="25:26">
      <c r="Y8518" s="1354"/>
      <c r="Z8518" s="1060"/>
    </row>
    <row r="8519" spans="25:26">
      <c r="Y8519" s="1354"/>
      <c r="Z8519" s="1060"/>
    </row>
    <row r="8520" spans="25:26">
      <c r="Y8520" s="1354"/>
      <c r="Z8520" s="1060"/>
    </row>
    <row r="8521" spans="25:26">
      <c r="Y8521" s="1354"/>
      <c r="Z8521" s="1060"/>
    </row>
    <row r="8522" spans="25:26">
      <c r="Y8522" s="1354"/>
      <c r="Z8522" s="1060"/>
    </row>
    <row r="8523" spans="25:26">
      <c r="Y8523" s="1354"/>
      <c r="Z8523" s="1060"/>
    </row>
    <row r="8524" spans="25:26">
      <c r="Y8524" s="1354"/>
      <c r="Z8524" s="1060"/>
    </row>
    <row r="8525" spans="25:26">
      <c r="Y8525" s="1354"/>
      <c r="Z8525" s="1060"/>
    </row>
    <row r="8526" spans="25:26">
      <c r="Y8526" s="1354"/>
      <c r="Z8526" s="1060"/>
    </row>
    <row r="8527" spans="25:26">
      <c r="Y8527" s="1354"/>
      <c r="Z8527" s="1060"/>
    </row>
    <row r="8528" spans="25:26">
      <c r="Y8528" s="1354"/>
      <c r="Z8528" s="1060"/>
    </row>
    <row r="8529" spans="25:26">
      <c r="Y8529" s="1354"/>
      <c r="Z8529" s="1060"/>
    </row>
    <row r="8530" spans="25:26">
      <c r="Y8530" s="1354"/>
      <c r="Z8530" s="1060"/>
    </row>
    <row r="8531" spans="25:26">
      <c r="Y8531" s="1354"/>
      <c r="Z8531" s="1060"/>
    </row>
    <row r="8532" spans="25:26">
      <c r="Y8532" s="1354"/>
      <c r="Z8532" s="1060"/>
    </row>
    <row r="8533" spans="25:26">
      <c r="Y8533" s="1354"/>
      <c r="Z8533" s="1060"/>
    </row>
    <row r="8534" spans="25:26">
      <c r="Y8534" s="1354"/>
      <c r="Z8534" s="1060"/>
    </row>
    <row r="8535" spans="25:26">
      <c r="Y8535" s="1354"/>
      <c r="Z8535" s="1060"/>
    </row>
    <row r="8536" spans="25:26">
      <c r="Y8536" s="1354"/>
      <c r="Z8536" s="1060"/>
    </row>
    <row r="8537" spans="25:26">
      <c r="Y8537" s="1354"/>
      <c r="Z8537" s="1060"/>
    </row>
    <row r="8538" spans="25:26">
      <c r="Y8538" s="1354"/>
      <c r="Z8538" s="1060"/>
    </row>
    <row r="8539" spans="25:26">
      <c r="Y8539" s="1354"/>
      <c r="Z8539" s="1060"/>
    </row>
    <row r="8540" spans="25:26">
      <c r="Y8540" s="1354"/>
      <c r="Z8540" s="1060"/>
    </row>
    <row r="8541" spans="25:26">
      <c r="Y8541" s="1354"/>
      <c r="Z8541" s="1060"/>
    </row>
    <row r="8542" spans="25:26">
      <c r="Y8542" s="1354"/>
      <c r="Z8542" s="1060"/>
    </row>
    <row r="8543" spans="25:26">
      <c r="Y8543" s="1354"/>
      <c r="Z8543" s="1060"/>
    </row>
    <row r="8544" spans="25:26">
      <c r="Y8544" s="1354"/>
      <c r="Z8544" s="1060"/>
    </row>
    <row r="8545" spans="25:26">
      <c r="Y8545" s="1354"/>
      <c r="Z8545" s="1060"/>
    </row>
    <row r="8546" spans="25:26">
      <c r="Y8546" s="1354"/>
      <c r="Z8546" s="1060"/>
    </row>
    <row r="8547" spans="25:26">
      <c r="Y8547" s="1354"/>
      <c r="Z8547" s="1060"/>
    </row>
    <row r="8548" spans="25:26">
      <c r="Y8548" s="1354"/>
      <c r="Z8548" s="1060"/>
    </row>
    <row r="8549" spans="25:26">
      <c r="Y8549" s="1354"/>
      <c r="Z8549" s="1060"/>
    </row>
    <row r="8550" spans="25:26">
      <c r="Y8550" s="1354"/>
      <c r="Z8550" s="1060"/>
    </row>
    <row r="8551" spans="25:26">
      <c r="Y8551" s="1354"/>
      <c r="Z8551" s="1060"/>
    </row>
    <row r="8552" spans="25:26">
      <c r="Y8552" s="1354"/>
      <c r="Z8552" s="1060"/>
    </row>
    <row r="8553" spans="25:26">
      <c r="Y8553" s="1354"/>
      <c r="Z8553" s="1060"/>
    </row>
    <row r="8554" spans="25:26">
      <c r="Y8554" s="1354"/>
      <c r="Z8554" s="1060"/>
    </row>
    <row r="8555" spans="25:26">
      <c r="Y8555" s="1354"/>
      <c r="Z8555" s="1060"/>
    </row>
    <row r="8556" spans="25:26">
      <c r="Y8556" s="1354"/>
      <c r="Z8556" s="1060"/>
    </row>
    <row r="8557" spans="25:26">
      <c r="Y8557" s="1354"/>
      <c r="Z8557" s="1060"/>
    </row>
    <row r="8558" spans="25:26">
      <c r="Y8558" s="1354"/>
      <c r="Z8558" s="1060"/>
    </row>
    <row r="8559" spans="25:26">
      <c r="Y8559" s="1354"/>
      <c r="Z8559" s="1060"/>
    </row>
    <row r="8560" spans="25:26">
      <c r="Y8560" s="1354"/>
      <c r="Z8560" s="1060"/>
    </row>
    <row r="8561" spans="25:26">
      <c r="Y8561" s="1354"/>
      <c r="Z8561" s="1060"/>
    </row>
    <row r="8562" spans="25:26">
      <c r="Y8562" s="1354"/>
      <c r="Z8562" s="1060"/>
    </row>
    <row r="8563" spans="25:26">
      <c r="Y8563" s="1354"/>
      <c r="Z8563" s="1060"/>
    </row>
    <row r="8564" spans="25:26">
      <c r="Y8564" s="1354"/>
      <c r="Z8564" s="1060"/>
    </row>
    <row r="8565" spans="25:26">
      <c r="Y8565" s="1354"/>
      <c r="Z8565" s="1060"/>
    </row>
    <row r="8566" spans="25:26">
      <c r="Y8566" s="1354"/>
      <c r="Z8566" s="1060"/>
    </row>
    <row r="8567" spans="25:26">
      <c r="Y8567" s="1354"/>
      <c r="Z8567" s="1060"/>
    </row>
    <row r="8568" spans="25:26">
      <c r="Y8568" s="1354"/>
      <c r="Z8568" s="1060"/>
    </row>
    <row r="8569" spans="25:26">
      <c r="Y8569" s="1354"/>
      <c r="Z8569" s="1060"/>
    </row>
    <row r="8570" spans="25:26">
      <c r="Y8570" s="1354"/>
      <c r="Z8570" s="1060"/>
    </row>
    <row r="8571" spans="25:26">
      <c r="Y8571" s="1354"/>
      <c r="Z8571" s="1060"/>
    </row>
    <row r="8572" spans="25:26">
      <c r="Y8572" s="1354"/>
      <c r="Z8572" s="1060"/>
    </row>
    <row r="8573" spans="25:26">
      <c r="Y8573" s="1354"/>
      <c r="Z8573" s="1060"/>
    </row>
    <row r="8574" spans="25:26">
      <c r="Y8574" s="1354"/>
      <c r="Z8574" s="1060"/>
    </row>
    <row r="8575" spans="25:26">
      <c r="Y8575" s="1354"/>
      <c r="Z8575" s="1060"/>
    </row>
    <row r="8576" spans="25:26">
      <c r="Y8576" s="1354"/>
      <c r="Z8576" s="1060"/>
    </row>
    <row r="8577" spans="25:26">
      <c r="Y8577" s="1354"/>
      <c r="Z8577" s="1060"/>
    </row>
    <row r="8578" spans="25:26">
      <c r="Y8578" s="1354"/>
      <c r="Z8578" s="1060"/>
    </row>
    <row r="8579" spans="25:26">
      <c r="Y8579" s="1354"/>
      <c r="Z8579" s="1060"/>
    </row>
    <row r="8580" spans="25:26">
      <c r="Y8580" s="1354"/>
      <c r="Z8580" s="1060"/>
    </row>
    <row r="8581" spans="25:26">
      <c r="Y8581" s="1354"/>
      <c r="Z8581" s="1060"/>
    </row>
    <row r="8582" spans="25:26">
      <c r="Y8582" s="1354"/>
      <c r="Z8582" s="1060"/>
    </row>
    <row r="8583" spans="25:26">
      <c r="Y8583" s="1354"/>
      <c r="Z8583" s="1060"/>
    </row>
    <row r="8584" spans="25:26">
      <c r="Y8584" s="1354"/>
      <c r="Z8584" s="1060"/>
    </row>
    <row r="8585" spans="25:26">
      <c r="Y8585" s="1354"/>
      <c r="Z8585" s="1060"/>
    </row>
    <row r="8586" spans="25:26">
      <c r="Y8586" s="1354"/>
      <c r="Z8586" s="1060"/>
    </row>
    <row r="8587" spans="25:26">
      <c r="Y8587" s="1354"/>
      <c r="Z8587" s="1060"/>
    </row>
    <row r="8588" spans="25:26">
      <c r="Y8588" s="1354"/>
      <c r="Z8588" s="1060"/>
    </row>
    <row r="8589" spans="25:26">
      <c r="Y8589" s="1354"/>
      <c r="Z8589" s="1060"/>
    </row>
    <row r="8590" spans="25:26">
      <c r="Y8590" s="1354"/>
      <c r="Z8590" s="1060"/>
    </row>
    <row r="8591" spans="25:26">
      <c r="Y8591" s="1354"/>
      <c r="Z8591" s="1060"/>
    </row>
    <row r="8592" spans="25:26">
      <c r="Y8592" s="1354"/>
      <c r="Z8592" s="1060"/>
    </row>
    <row r="8593" spans="25:26">
      <c r="Y8593" s="1354"/>
      <c r="Z8593" s="1060"/>
    </row>
    <row r="8594" spans="25:26">
      <c r="Y8594" s="1354"/>
      <c r="Z8594" s="1060"/>
    </row>
    <row r="8595" spans="25:26">
      <c r="Y8595" s="1354"/>
      <c r="Z8595" s="1060"/>
    </row>
    <row r="8596" spans="25:26">
      <c r="Y8596" s="1354"/>
      <c r="Z8596" s="1060"/>
    </row>
    <row r="8597" spans="25:26">
      <c r="Y8597" s="1354"/>
      <c r="Z8597" s="1060"/>
    </row>
    <row r="8598" spans="25:26">
      <c r="Y8598" s="1354"/>
      <c r="Z8598" s="1060"/>
    </row>
    <row r="8599" spans="25:26">
      <c r="Y8599" s="1354"/>
      <c r="Z8599" s="1060"/>
    </row>
    <row r="8600" spans="25:26">
      <c r="Y8600" s="1354"/>
      <c r="Z8600" s="1060"/>
    </row>
    <row r="8601" spans="25:26">
      <c r="Y8601" s="1354"/>
      <c r="Z8601" s="1060"/>
    </row>
    <row r="8602" spans="25:26">
      <c r="Y8602" s="1354"/>
      <c r="Z8602" s="1060"/>
    </row>
    <row r="8603" spans="25:26">
      <c r="Y8603" s="1354"/>
      <c r="Z8603" s="1060"/>
    </row>
    <row r="8604" spans="25:26">
      <c r="Y8604" s="1354"/>
      <c r="Z8604" s="1060"/>
    </row>
    <row r="8605" spans="25:26">
      <c r="Y8605" s="1354"/>
      <c r="Z8605" s="1060"/>
    </row>
    <row r="8606" spans="25:26">
      <c r="Y8606" s="1354"/>
      <c r="Z8606" s="1060"/>
    </row>
    <row r="8607" spans="25:26">
      <c r="Y8607" s="1354"/>
      <c r="Z8607" s="1060"/>
    </row>
    <row r="8608" spans="25:26">
      <c r="Y8608" s="1354"/>
      <c r="Z8608" s="1060"/>
    </row>
    <row r="8609" spans="25:26">
      <c r="Y8609" s="1354"/>
      <c r="Z8609" s="1060"/>
    </row>
    <row r="8610" spans="25:26">
      <c r="Y8610" s="1354"/>
      <c r="Z8610" s="1060"/>
    </row>
    <row r="8611" spans="25:26">
      <c r="Y8611" s="1354"/>
      <c r="Z8611" s="1060"/>
    </row>
    <row r="8612" spans="25:26">
      <c r="Y8612" s="1354"/>
      <c r="Z8612" s="1060"/>
    </row>
    <row r="8613" spans="25:26">
      <c r="Y8613" s="1354"/>
      <c r="Z8613" s="1060"/>
    </row>
    <row r="8614" spans="25:26">
      <c r="Y8614" s="1354"/>
      <c r="Z8614" s="1060"/>
    </row>
    <row r="8615" spans="25:26">
      <c r="Y8615" s="1354"/>
      <c r="Z8615" s="1060"/>
    </row>
    <row r="8616" spans="25:26">
      <c r="Y8616" s="1354"/>
      <c r="Z8616" s="1060"/>
    </row>
    <row r="8617" spans="25:26">
      <c r="Y8617" s="1354"/>
      <c r="Z8617" s="1060"/>
    </row>
    <row r="8618" spans="25:26">
      <c r="Y8618" s="1354"/>
      <c r="Z8618" s="1060"/>
    </row>
    <row r="8619" spans="25:26">
      <c r="Y8619" s="1354"/>
      <c r="Z8619" s="1060"/>
    </row>
    <row r="8620" spans="25:26">
      <c r="Y8620" s="1354"/>
      <c r="Z8620" s="1060"/>
    </row>
    <row r="8621" spans="25:26">
      <c r="Y8621" s="1354"/>
      <c r="Z8621" s="1060"/>
    </row>
    <row r="8622" spans="25:26">
      <c r="Y8622" s="1354"/>
      <c r="Z8622" s="1060"/>
    </row>
    <row r="8623" spans="25:26">
      <c r="Y8623" s="1354"/>
      <c r="Z8623" s="1060"/>
    </row>
    <row r="8624" spans="25:26">
      <c r="Y8624" s="1354"/>
      <c r="Z8624" s="1060"/>
    </row>
    <row r="8625" spans="25:26">
      <c r="Y8625" s="1354"/>
      <c r="Z8625" s="1060"/>
    </row>
    <row r="8626" spans="25:26">
      <c r="Y8626" s="1354"/>
      <c r="Z8626" s="1060"/>
    </row>
    <row r="8627" spans="25:26">
      <c r="Y8627" s="1354"/>
      <c r="Z8627" s="1060"/>
    </row>
    <row r="8628" spans="25:26">
      <c r="Y8628" s="1354"/>
      <c r="Z8628" s="1060"/>
    </row>
    <row r="8629" spans="25:26">
      <c r="Y8629" s="1354"/>
      <c r="Z8629" s="1060"/>
    </row>
    <row r="8630" spans="25:26">
      <c r="Y8630" s="1354"/>
      <c r="Z8630" s="1060"/>
    </row>
    <row r="8631" spans="25:26">
      <c r="Y8631" s="1354"/>
      <c r="Z8631" s="1060"/>
    </row>
    <row r="8632" spans="25:26">
      <c r="Y8632" s="1354"/>
      <c r="Z8632" s="1060"/>
    </row>
    <row r="8633" spans="25:26">
      <c r="Y8633" s="1354"/>
      <c r="Z8633" s="1060"/>
    </row>
    <row r="8634" spans="25:26">
      <c r="Y8634" s="1354"/>
      <c r="Z8634" s="1060"/>
    </row>
    <row r="8635" spans="25:26">
      <c r="Y8635" s="1354"/>
      <c r="Z8635" s="1060"/>
    </row>
    <row r="8636" spans="25:26">
      <c r="Y8636" s="1354"/>
      <c r="Z8636" s="1060"/>
    </row>
    <row r="8637" spans="25:26">
      <c r="Y8637" s="1354"/>
      <c r="Z8637" s="1060"/>
    </row>
    <row r="8638" spans="25:26">
      <c r="Y8638" s="1354"/>
      <c r="Z8638" s="1060"/>
    </row>
    <row r="8639" spans="25:26">
      <c r="Y8639" s="1354"/>
      <c r="Z8639" s="1060"/>
    </row>
    <row r="8640" spans="25:26">
      <c r="Y8640" s="1354"/>
      <c r="Z8640" s="1060"/>
    </row>
    <row r="8641" spans="25:26">
      <c r="Y8641" s="1354"/>
      <c r="Z8641" s="1060"/>
    </row>
    <row r="8642" spans="25:26">
      <c r="Y8642" s="1354"/>
      <c r="Z8642" s="1060"/>
    </row>
    <row r="8643" spans="25:26">
      <c r="Y8643" s="1354"/>
      <c r="Z8643" s="1060"/>
    </row>
    <row r="8644" spans="25:26">
      <c r="Y8644" s="1354"/>
      <c r="Z8644" s="1060"/>
    </row>
    <row r="8645" spans="25:26">
      <c r="Y8645" s="1354"/>
      <c r="Z8645" s="1060"/>
    </row>
    <row r="8646" spans="25:26">
      <c r="Y8646" s="1354"/>
      <c r="Z8646" s="1060"/>
    </row>
    <row r="8647" spans="25:26">
      <c r="Y8647" s="1354"/>
      <c r="Z8647" s="1060"/>
    </row>
    <row r="8648" spans="25:26">
      <c r="Y8648" s="1354"/>
      <c r="Z8648" s="1060"/>
    </row>
    <row r="8649" spans="25:26">
      <c r="Y8649" s="1354"/>
      <c r="Z8649" s="1060"/>
    </row>
    <row r="8650" spans="25:26">
      <c r="Y8650" s="1354"/>
      <c r="Z8650" s="1060"/>
    </row>
    <row r="8651" spans="25:26">
      <c r="Y8651" s="1354"/>
      <c r="Z8651" s="1060"/>
    </row>
    <row r="8652" spans="25:26">
      <c r="Y8652" s="1354"/>
      <c r="Z8652" s="1060"/>
    </row>
    <row r="8653" spans="25:26">
      <c r="Y8653" s="1354"/>
      <c r="Z8653" s="1060"/>
    </row>
    <row r="8654" spans="25:26">
      <c r="Y8654" s="1354"/>
      <c r="Z8654" s="1060"/>
    </row>
    <row r="8655" spans="25:26">
      <c r="Y8655" s="1354"/>
      <c r="Z8655" s="1060"/>
    </row>
    <row r="8656" spans="25:26">
      <c r="Y8656" s="1354"/>
      <c r="Z8656" s="1060"/>
    </row>
    <row r="8657" spans="25:26">
      <c r="Y8657" s="1354"/>
      <c r="Z8657" s="1060"/>
    </row>
    <row r="8658" spans="25:26">
      <c r="Y8658" s="1354"/>
      <c r="Z8658" s="1060"/>
    </row>
    <row r="8659" spans="25:26">
      <c r="Y8659" s="1354"/>
      <c r="Z8659" s="1060"/>
    </row>
    <row r="8660" spans="25:26">
      <c r="Y8660" s="1354"/>
      <c r="Z8660" s="1060"/>
    </row>
    <row r="8661" spans="25:26">
      <c r="Y8661" s="1354"/>
      <c r="Z8661" s="1060"/>
    </row>
    <row r="8662" spans="25:26">
      <c r="Y8662" s="1354"/>
      <c r="Z8662" s="1060"/>
    </row>
    <row r="8663" spans="25:26">
      <c r="Y8663" s="1354"/>
      <c r="Z8663" s="1060"/>
    </row>
    <row r="8664" spans="25:26">
      <c r="Y8664" s="1354"/>
      <c r="Z8664" s="1060"/>
    </row>
    <row r="8665" spans="25:26">
      <c r="Y8665" s="1354"/>
      <c r="Z8665" s="1060"/>
    </row>
    <row r="8666" spans="25:26">
      <c r="Y8666" s="1354"/>
      <c r="Z8666" s="1060"/>
    </row>
    <row r="8667" spans="25:26">
      <c r="Y8667" s="1354"/>
      <c r="Z8667" s="1060"/>
    </row>
    <row r="8668" spans="25:26">
      <c r="Y8668" s="1354"/>
      <c r="Z8668" s="1060"/>
    </row>
    <row r="8669" spans="25:26">
      <c r="Y8669" s="1354"/>
      <c r="Z8669" s="1060"/>
    </row>
    <row r="8670" spans="25:26">
      <c r="Y8670" s="1354"/>
      <c r="Z8670" s="1060"/>
    </row>
    <row r="8671" spans="25:26">
      <c r="Y8671" s="1354"/>
      <c r="Z8671" s="1060"/>
    </row>
    <row r="8672" spans="25:26">
      <c r="Y8672" s="1354"/>
      <c r="Z8672" s="1060"/>
    </row>
    <row r="8673" spans="25:26">
      <c r="Y8673" s="1354"/>
      <c r="Z8673" s="1060"/>
    </row>
    <row r="8674" spans="25:26">
      <c r="Y8674" s="1354"/>
      <c r="Z8674" s="1060"/>
    </row>
    <row r="8675" spans="25:26">
      <c r="Y8675" s="1354"/>
      <c r="Z8675" s="1060"/>
    </row>
    <row r="8676" spans="25:26">
      <c r="Y8676" s="1354"/>
      <c r="Z8676" s="1060"/>
    </row>
    <row r="8677" spans="25:26">
      <c r="Y8677" s="1354"/>
      <c r="Z8677" s="1060"/>
    </row>
    <row r="8678" spans="25:26">
      <c r="Y8678" s="1354"/>
      <c r="Z8678" s="1060"/>
    </row>
    <row r="8679" spans="25:26">
      <c r="Y8679" s="1354"/>
      <c r="Z8679" s="1060"/>
    </row>
    <row r="8680" spans="25:26">
      <c r="Y8680" s="1354"/>
      <c r="Z8680" s="1060"/>
    </row>
    <row r="8681" spans="25:26">
      <c r="Y8681" s="1354"/>
      <c r="Z8681" s="1060"/>
    </row>
    <row r="8682" spans="25:26">
      <c r="Y8682" s="1354"/>
      <c r="Z8682" s="1060"/>
    </row>
    <row r="8683" spans="25:26">
      <c r="Y8683" s="1354"/>
      <c r="Z8683" s="1060"/>
    </row>
    <row r="8684" spans="25:26">
      <c r="Y8684" s="1354"/>
      <c r="Z8684" s="1060"/>
    </row>
    <row r="8685" spans="25:26">
      <c r="Y8685" s="1354"/>
      <c r="Z8685" s="1060"/>
    </row>
    <row r="8686" spans="25:26">
      <c r="Y8686" s="1354"/>
      <c r="Z8686" s="1060"/>
    </row>
    <row r="8687" spans="25:26">
      <c r="Y8687" s="1354"/>
      <c r="Z8687" s="1060"/>
    </row>
    <row r="8688" spans="25:26">
      <c r="Y8688" s="1354"/>
      <c r="Z8688" s="1060"/>
    </row>
    <row r="8689" spans="25:26">
      <c r="Y8689" s="1354"/>
      <c r="Z8689" s="1060"/>
    </row>
    <row r="8690" spans="25:26">
      <c r="Y8690" s="1354"/>
      <c r="Z8690" s="1060"/>
    </row>
    <row r="8691" spans="25:26">
      <c r="Y8691" s="1354"/>
      <c r="Z8691" s="1060"/>
    </row>
    <row r="8692" spans="25:26">
      <c r="Y8692" s="1354"/>
      <c r="Z8692" s="1060"/>
    </row>
    <row r="8693" spans="25:26">
      <c r="Y8693" s="1354"/>
      <c r="Z8693" s="1060"/>
    </row>
    <row r="8694" spans="25:26">
      <c r="Y8694" s="1354"/>
      <c r="Z8694" s="1060"/>
    </row>
    <row r="8695" spans="25:26">
      <c r="Y8695" s="1354"/>
      <c r="Z8695" s="1060"/>
    </row>
    <row r="8696" spans="25:26">
      <c r="Y8696" s="1354"/>
      <c r="Z8696" s="1060"/>
    </row>
    <row r="8697" spans="25:26">
      <c r="Y8697" s="1354"/>
      <c r="Z8697" s="1060"/>
    </row>
    <row r="8698" spans="25:26">
      <c r="Y8698" s="1354"/>
      <c r="Z8698" s="1060"/>
    </row>
    <row r="8699" spans="25:26">
      <c r="Y8699" s="1354"/>
      <c r="Z8699" s="1060"/>
    </row>
    <row r="8700" spans="25:26">
      <c r="Y8700" s="1354"/>
      <c r="Z8700" s="1060"/>
    </row>
    <row r="8701" spans="25:26">
      <c r="Y8701" s="1354"/>
      <c r="Z8701" s="1060"/>
    </row>
    <row r="8702" spans="25:26">
      <c r="Y8702" s="1354"/>
      <c r="Z8702" s="1060"/>
    </row>
    <row r="8703" spans="25:26">
      <c r="Y8703" s="1354"/>
      <c r="Z8703" s="1060"/>
    </row>
    <row r="8704" spans="25:26">
      <c r="Y8704" s="1354"/>
      <c r="Z8704" s="1060"/>
    </row>
    <row r="8705" spans="25:26">
      <c r="Y8705" s="1354"/>
      <c r="Z8705" s="1060"/>
    </row>
    <row r="8706" spans="25:26">
      <c r="Y8706" s="1354"/>
      <c r="Z8706" s="1060"/>
    </row>
    <row r="8707" spans="25:26">
      <c r="Y8707" s="1354"/>
      <c r="Z8707" s="1060"/>
    </row>
    <row r="8708" spans="25:26">
      <c r="Y8708" s="1354"/>
      <c r="Z8708" s="1060"/>
    </row>
    <row r="8709" spans="25:26">
      <c r="Y8709" s="1354"/>
      <c r="Z8709" s="1060"/>
    </row>
    <row r="8710" spans="25:26">
      <c r="Y8710" s="1354"/>
      <c r="Z8710" s="1060"/>
    </row>
    <row r="8711" spans="25:26">
      <c r="Y8711" s="1354"/>
      <c r="Z8711" s="1060"/>
    </row>
    <row r="8712" spans="25:26">
      <c r="Y8712" s="1354"/>
      <c r="Z8712" s="1060"/>
    </row>
    <row r="8713" spans="25:26">
      <c r="Y8713" s="1354"/>
      <c r="Z8713" s="1060"/>
    </row>
    <row r="8714" spans="25:26">
      <c r="Y8714" s="1354"/>
      <c r="Z8714" s="1060"/>
    </row>
    <row r="8715" spans="25:26">
      <c r="Y8715" s="1354"/>
      <c r="Z8715" s="1060"/>
    </row>
    <row r="8716" spans="25:26">
      <c r="Y8716" s="1354"/>
      <c r="Z8716" s="1060"/>
    </row>
    <row r="8717" spans="25:26">
      <c r="Y8717" s="1354"/>
      <c r="Z8717" s="1060"/>
    </row>
    <row r="8718" spans="25:26">
      <c r="Y8718" s="1354"/>
      <c r="Z8718" s="1060"/>
    </row>
    <row r="8719" spans="25:26">
      <c r="Y8719" s="1354"/>
      <c r="Z8719" s="1060"/>
    </row>
    <row r="8720" spans="25:26">
      <c r="Y8720" s="1354"/>
      <c r="Z8720" s="1060"/>
    </row>
    <row r="8721" spans="25:26">
      <c r="Y8721" s="1354"/>
      <c r="Z8721" s="1060"/>
    </row>
    <row r="8722" spans="25:26">
      <c r="Y8722" s="1354"/>
      <c r="Z8722" s="1060"/>
    </row>
    <row r="8723" spans="25:26">
      <c r="Y8723" s="1354"/>
      <c r="Z8723" s="1060"/>
    </row>
    <row r="8724" spans="25:26">
      <c r="Y8724" s="1354"/>
      <c r="Z8724" s="1060"/>
    </row>
    <row r="8725" spans="25:26">
      <c r="Y8725" s="1354"/>
      <c r="Z8725" s="1060"/>
    </row>
    <row r="8726" spans="25:26">
      <c r="Y8726" s="1354"/>
      <c r="Z8726" s="1060"/>
    </row>
    <row r="8727" spans="25:26">
      <c r="Y8727" s="1354"/>
      <c r="Z8727" s="1060"/>
    </row>
    <row r="8728" spans="25:26">
      <c r="Y8728" s="1354"/>
      <c r="Z8728" s="1060"/>
    </row>
    <row r="8729" spans="25:26">
      <c r="Y8729" s="1354"/>
      <c r="Z8729" s="1060"/>
    </row>
    <row r="8730" spans="25:26">
      <c r="Y8730" s="1354"/>
      <c r="Z8730" s="1060"/>
    </row>
    <row r="8731" spans="25:26">
      <c r="Y8731" s="1354"/>
      <c r="Z8731" s="1060"/>
    </row>
    <row r="8732" spans="25:26">
      <c r="Y8732" s="1354"/>
      <c r="Z8732" s="1060"/>
    </row>
    <row r="8733" spans="25:26">
      <c r="Y8733" s="1354"/>
      <c r="Z8733" s="1060"/>
    </row>
    <row r="8734" spans="25:26">
      <c r="Y8734" s="1354"/>
      <c r="Z8734" s="1060"/>
    </row>
    <row r="8735" spans="25:26">
      <c r="Y8735" s="1354"/>
      <c r="Z8735" s="1060"/>
    </row>
    <row r="8736" spans="25:26">
      <c r="Y8736" s="1354"/>
      <c r="Z8736" s="1060"/>
    </row>
    <row r="8737" spans="25:26">
      <c r="Y8737" s="1354"/>
      <c r="Z8737" s="1060"/>
    </row>
    <row r="8738" spans="25:26">
      <c r="Y8738" s="1354"/>
      <c r="Z8738" s="1060"/>
    </row>
    <row r="8739" spans="25:26">
      <c r="Y8739" s="1354"/>
      <c r="Z8739" s="1060"/>
    </row>
    <row r="8740" spans="25:26">
      <c r="Y8740" s="1354"/>
      <c r="Z8740" s="1060"/>
    </row>
    <row r="8741" spans="25:26">
      <c r="Y8741" s="1354"/>
      <c r="Z8741" s="1060"/>
    </row>
    <row r="8742" spans="25:26">
      <c r="Y8742" s="1354"/>
      <c r="Z8742" s="1060"/>
    </row>
    <row r="8743" spans="25:26">
      <c r="Y8743" s="1354"/>
      <c r="Z8743" s="1060"/>
    </row>
    <row r="8744" spans="25:26">
      <c r="Y8744" s="1354"/>
      <c r="Z8744" s="1060"/>
    </row>
    <row r="8745" spans="25:26">
      <c r="Y8745" s="1354"/>
      <c r="Z8745" s="1060"/>
    </row>
    <row r="8746" spans="25:26">
      <c r="Y8746" s="1354"/>
      <c r="Z8746" s="1060"/>
    </row>
    <row r="8747" spans="25:26">
      <c r="Y8747" s="1354"/>
      <c r="Z8747" s="1060"/>
    </row>
    <row r="8748" spans="25:26">
      <c r="Y8748" s="1354"/>
      <c r="Z8748" s="1060"/>
    </row>
    <row r="8749" spans="25:26">
      <c r="Y8749" s="1354"/>
      <c r="Z8749" s="1060"/>
    </row>
    <row r="8750" spans="25:26">
      <c r="Y8750" s="1354"/>
      <c r="Z8750" s="1060"/>
    </row>
    <row r="8751" spans="25:26">
      <c r="Y8751" s="1354"/>
      <c r="Z8751" s="1060"/>
    </row>
    <row r="8752" spans="25:26">
      <c r="Y8752" s="1354"/>
      <c r="Z8752" s="1060"/>
    </row>
    <row r="8753" spans="25:26">
      <c r="Y8753" s="1354"/>
      <c r="Z8753" s="1060"/>
    </row>
    <row r="8754" spans="25:26">
      <c r="Y8754" s="1354"/>
      <c r="Z8754" s="1060"/>
    </row>
    <row r="8755" spans="25:26">
      <c r="Y8755" s="1354"/>
      <c r="Z8755" s="1060"/>
    </row>
    <row r="8756" spans="25:26">
      <c r="Y8756" s="1354"/>
      <c r="Z8756" s="1060"/>
    </row>
    <row r="8757" spans="25:26">
      <c r="Y8757" s="1354"/>
      <c r="Z8757" s="1060"/>
    </row>
    <row r="8758" spans="25:26">
      <c r="Y8758" s="1354"/>
      <c r="Z8758" s="1060"/>
    </row>
    <row r="8759" spans="25:26">
      <c r="Y8759" s="1354"/>
      <c r="Z8759" s="1060"/>
    </row>
    <row r="8760" spans="25:26">
      <c r="Y8760" s="1354"/>
      <c r="Z8760" s="1060"/>
    </row>
    <row r="8761" spans="25:26">
      <c r="Y8761" s="1354"/>
      <c r="Z8761" s="1060"/>
    </row>
    <row r="8762" spans="25:26">
      <c r="Y8762" s="1354"/>
      <c r="Z8762" s="1060"/>
    </row>
    <row r="8763" spans="25:26">
      <c r="Y8763" s="1354"/>
      <c r="Z8763" s="1060"/>
    </row>
    <row r="8764" spans="25:26">
      <c r="Y8764" s="1354"/>
      <c r="Z8764" s="1060"/>
    </row>
    <row r="8765" spans="25:26">
      <c r="Y8765" s="1354"/>
      <c r="Z8765" s="1060"/>
    </row>
    <row r="8766" spans="25:26">
      <c r="Y8766" s="1354"/>
      <c r="Z8766" s="1060"/>
    </row>
    <row r="8767" spans="25:26">
      <c r="Y8767" s="1354"/>
      <c r="Z8767" s="1060"/>
    </row>
    <row r="8768" spans="25:26">
      <c r="Y8768" s="1354"/>
      <c r="Z8768" s="1060"/>
    </row>
    <row r="8769" spans="25:26">
      <c r="Y8769" s="1354"/>
      <c r="Z8769" s="1060"/>
    </row>
    <row r="8770" spans="25:26">
      <c r="Y8770" s="1354"/>
      <c r="Z8770" s="1060"/>
    </row>
    <row r="8771" spans="25:26">
      <c r="Y8771" s="1354"/>
      <c r="Z8771" s="1060"/>
    </row>
    <row r="8772" spans="25:26">
      <c r="Y8772" s="1354"/>
      <c r="Z8772" s="1060"/>
    </row>
    <row r="8773" spans="25:26">
      <c r="Y8773" s="1354"/>
      <c r="Z8773" s="1060"/>
    </row>
    <row r="8774" spans="25:26">
      <c r="Y8774" s="1354"/>
      <c r="Z8774" s="1060"/>
    </row>
    <row r="8775" spans="25:26">
      <c r="Y8775" s="1354"/>
      <c r="Z8775" s="1060"/>
    </row>
    <row r="8776" spans="25:26">
      <c r="Y8776" s="1354"/>
      <c r="Z8776" s="1060"/>
    </row>
    <row r="8777" spans="25:26">
      <c r="Y8777" s="1354"/>
      <c r="Z8777" s="1060"/>
    </row>
    <row r="8778" spans="25:26">
      <c r="Y8778" s="1354"/>
      <c r="Z8778" s="1060"/>
    </row>
    <row r="8779" spans="25:26">
      <c r="Y8779" s="1354"/>
      <c r="Z8779" s="1060"/>
    </row>
    <row r="8780" spans="25:26">
      <c r="Y8780" s="1354"/>
      <c r="Z8780" s="1060"/>
    </row>
    <row r="8781" spans="25:26">
      <c r="Y8781" s="1354"/>
      <c r="Z8781" s="1060"/>
    </row>
    <row r="8782" spans="25:26">
      <c r="Y8782" s="1354"/>
      <c r="Z8782" s="1060"/>
    </row>
    <row r="8783" spans="25:26">
      <c r="Y8783" s="1354"/>
      <c r="Z8783" s="1060"/>
    </row>
    <row r="8784" spans="25:26">
      <c r="Y8784" s="1354"/>
      <c r="Z8784" s="1060"/>
    </row>
    <row r="8785" spans="25:26">
      <c r="Y8785" s="1354"/>
      <c r="Z8785" s="1060"/>
    </row>
    <row r="8786" spans="25:26">
      <c r="Y8786" s="1354"/>
      <c r="Z8786" s="1060"/>
    </row>
    <row r="8787" spans="25:26">
      <c r="Y8787" s="1354"/>
      <c r="Z8787" s="1060"/>
    </row>
    <row r="8788" spans="25:26">
      <c r="Y8788" s="1354"/>
      <c r="Z8788" s="1060"/>
    </row>
    <row r="8789" spans="25:26">
      <c r="Y8789" s="1354"/>
      <c r="Z8789" s="1060"/>
    </row>
    <row r="8790" spans="25:26">
      <c r="Y8790" s="1354"/>
      <c r="Z8790" s="1060"/>
    </row>
    <row r="8791" spans="25:26">
      <c r="Y8791" s="1354"/>
      <c r="Z8791" s="1060"/>
    </row>
    <row r="8792" spans="25:26">
      <c r="Y8792" s="1354"/>
      <c r="Z8792" s="1060"/>
    </row>
    <row r="8793" spans="25:26">
      <c r="Y8793" s="1354"/>
      <c r="Z8793" s="1060"/>
    </row>
    <row r="8794" spans="25:26">
      <c r="Y8794" s="1354"/>
      <c r="Z8794" s="1060"/>
    </row>
    <row r="8795" spans="25:26">
      <c r="Y8795" s="1354"/>
      <c r="Z8795" s="1060"/>
    </row>
    <row r="8796" spans="25:26">
      <c r="Y8796" s="1354"/>
      <c r="Z8796" s="1060"/>
    </row>
    <row r="8797" spans="25:26">
      <c r="Y8797" s="1354"/>
      <c r="Z8797" s="1060"/>
    </row>
    <row r="8798" spans="25:26">
      <c r="Y8798" s="1354"/>
      <c r="Z8798" s="1060"/>
    </row>
    <row r="8799" spans="25:26">
      <c r="Y8799" s="1354"/>
      <c r="Z8799" s="1060"/>
    </row>
    <row r="8800" spans="25:26">
      <c r="Y8800" s="1354"/>
      <c r="Z8800" s="1060"/>
    </row>
    <row r="8801" spans="25:26">
      <c r="Y8801" s="1354"/>
      <c r="Z8801" s="1060"/>
    </row>
    <row r="8802" spans="25:26">
      <c r="Y8802" s="1354"/>
      <c r="Z8802" s="1060"/>
    </row>
    <row r="8803" spans="25:26">
      <c r="Y8803" s="1354"/>
      <c r="Z8803" s="1060"/>
    </row>
    <row r="8804" spans="25:26">
      <c r="Y8804" s="1354"/>
      <c r="Z8804" s="1060"/>
    </row>
    <row r="8805" spans="25:26">
      <c r="Y8805" s="1354"/>
      <c r="Z8805" s="1060"/>
    </row>
    <row r="8806" spans="25:26">
      <c r="Y8806" s="1354"/>
      <c r="Z8806" s="1060"/>
    </row>
    <row r="8807" spans="25:26">
      <c r="Y8807" s="1354"/>
      <c r="Z8807" s="1060"/>
    </row>
    <row r="8808" spans="25:26">
      <c r="Y8808" s="1354"/>
      <c r="Z8808" s="1060"/>
    </row>
    <row r="8809" spans="25:26">
      <c r="Y8809" s="1354"/>
      <c r="Z8809" s="1060"/>
    </row>
    <row r="8810" spans="25:26">
      <c r="Y8810" s="1354"/>
      <c r="Z8810" s="1060"/>
    </row>
    <row r="8811" spans="25:26">
      <c r="Y8811" s="1354"/>
      <c r="Z8811" s="1060"/>
    </row>
    <row r="8812" spans="25:26">
      <c r="Y8812" s="1354"/>
      <c r="Z8812" s="1060"/>
    </row>
    <row r="8813" spans="25:26">
      <c r="Y8813" s="1354"/>
      <c r="Z8813" s="1060"/>
    </row>
    <row r="8814" spans="25:26">
      <c r="Y8814" s="1354"/>
      <c r="Z8814" s="1060"/>
    </row>
    <row r="8815" spans="25:26">
      <c r="Y8815" s="1354"/>
      <c r="Z8815" s="1060"/>
    </row>
    <row r="8816" spans="25:26">
      <c r="Y8816" s="1354"/>
      <c r="Z8816" s="1060"/>
    </row>
    <row r="8817" spans="25:26">
      <c r="Y8817" s="1354"/>
      <c r="Z8817" s="1060"/>
    </row>
    <row r="8818" spans="25:26">
      <c r="Y8818" s="1354"/>
      <c r="Z8818" s="1060"/>
    </row>
    <row r="8819" spans="25:26">
      <c r="Y8819" s="1354"/>
      <c r="Z8819" s="1060"/>
    </row>
    <row r="8820" spans="25:26">
      <c r="Y8820" s="1354"/>
      <c r="Z8820" s="1060"/>
    </row>
    <row r="8821" spans="25:26">
      <c r="Y8821" s="1354"/>
      <c r="Z8821" s="1060"/>
    </row>
    <row r="8822" spans="25:26">
      <c r="Y8822" s="1354"/>
      <c r="Z8822" s="1060"/>
    </row>
    <row r="8823" spans="25:26">
      <c r="Y8823" s="1354"/>
      <c r="Z8823" s="1060"/>
    </row>
    <row r="8824" spans="25:26">
      <c r="Y8824" s="1354"/>
      <c r="Z8824" s="1060"/>
    </row>
    <row r="8825" spans="25:26">
      <c r="Y8825" s="1354"/>
      <c r="Z8825" s="1060"/>
    </row>
    <row r="8826" spans="25:26">
      <c r="Y8826" s="1354"/>
      <c r="Z8826" s="1060"/>
    </row>
    <row r="8827" spans="25:26">
      <c r="Y8827" s="1354"/>
      <c r="Z8827" s="1060"/>
    </row>
    <row r="8828" spans="25:26">
      <c r="Y8828" s="1354"/>
      <c r="Z8828" s="1060"/>
    </row>
    <row r="8829" spans="25:26">
      <c r="Y8829" s="1354"/>
      <c r="Z8829" s="1060"/>
    </row>
    <row r="8830" spans="25:26">
      <c r="Y8830" s="1354"/>
      <c r="Z8830" s="1060"/>
    </row>
    <row r="8831" spans="25:26">
      <c r="Y8831" s="1354"/>
      <c r="Z8831" s="1060"/>
    </row>
    <row r="8832" spans="25:26">
      <c r="Y8832" s="1354"/>
      <c r="Z8832" s="1060"/>
    </row>
    <row r="8833" spans="25:26">
      <c r="Y8833" s="1354"/>
      <c r="Z8833" s="1060"/>
    </row>
    <row r="8834" spans="25:26">
      <c r="Y8834" s="1354"/>
      <c r="Z8834" s="1060"/>
    </row>
    <row r="8835" spans="25:26">
      <c r="Y8835" s="1354"/>
      <c r="Z8835" s="1060"/>
    </row>
    <row r="8836" spans="25:26">
      <c r="Y8836" s="1354"/>
      <c r="Z8836" s="1060"/>
    </row>
    <row r="8837" spans="25:26">
      <c r="Y8837" s="1354"/>
      <c r="Z8837" s="1060"/>
    </row>
    <row r="8838" spans="25:26">
      <c r="Y8838" s="1354"/>
      <c r="Z8838" s="1060"/>
    </row>
    <row r="8839" spans="25:26">
      <c r="Y8839" s="1354"/>
      <c r="Z8839" s="1060"/>
    </row>
    <row r="8840" spans="25:26">
      <c r="Y8840" s="1354"/>
      <c r="Z8840" s="1060"/>
    </row>
    <row r="8841" spans="25:26">
      <c r="Y8841" s="1354"/>
      <c r="Z8841" s="1060"/>
    </row>
    <row r="8842" spans="25:26">
      <c r="Y8842" s="1354"/>
      <c r="Z8842" s="1060"/>
    </row>
    <row r="8843" spans="25:26">
      <c r="Y8843" s="1354"/>
      <c r="Z8843" s="1060"/>
    </row>
    <row r="8844" spans="25:26">
      <c r="Y8844" s="1354"/>
      <c r="Z8844" s="1060"/>
    </row>
    <row r="8845" spans="25:26">
      <c r="Y8845" s="1354"/>
      <c r="Z8845" s="1060"/>
    </row>
    <row r="8846" spans="25:26">
      <c r="Y8846" s="1354"/>
      <c r="Z8846" s="1060"/>
    </row>
    <row r="8847" spans="25:26">
      <c r="Y8847" s="1354"/>
      <c r="Z8847" s="1060"/>
    </row>
    <row r="8848" spans="25:26">
      <c r="Y8848" s="1354"/>
      <c r="Z8848" s="1060"/>
    </row>
    <row r="8849" spans="25:26">
      <c r="Y8849" s="1354"/>
      <c r="Z8849" s="1060"/>
    </row>
    <row r="8850" spans="25:26">
      <c r="Y8850" s="1354"/>
      <c r="Z8850" s="1060"/>
    </row>
    <row r="8851" spans="25:26">
      <c r="Y8851" s="1354"/>
      <c r="Z8851" s="1060"/>
    </row>
    <row r="8852" spans="25:26">
      <c r="Y8852" s="1354"/>
      <c r="Z8852" s="1060"/>
    </row>
    <row r="8853" spans="25:26">
      <c r="Y8853" s="1354"/>
      <c r="Z8853" s="1060"/>
    </row>
    <row r="8854" spans="25:26">
      <c r="Y8854" s="1354"/>
      <c r="Z8854" s="1060"/>
    </row>
    <row r="8855" spans="25:26">
      <c r="Y8855" s="1354"/>
      <c r="Z8855" s="1060"/>
    </row>
    <row r="8856" spans="25:26">
      <c r="Y8856" s="1354"/>
      <c r="Z8856" s="1060"/>
    </row>
    <row r="8857" spans="25:26">
      <c r="Y8857" s="1354"/>
      <c r="Z8857" s="1060"/>
    </row>
    <row r="8858" spans="25:26">
      <c r="Y8858" s="1354"/>
      <c r="Z8858" s="1060"/>
    </row>
    <row r="8859" spans="25:26">
      <c r="Y8859" s="1354"/>
      <c r="Z8859" s="1060"/>
    </row>
    <row r="8860" spans="25:26">
      <c r="Y8860" s="1354"/>
      <c r="Z8860" s="1060"/>
    </row>
    <row r="8861" spans="25:26">
      <c r="Y8861" s="1354"/>
      <c r="Z8861" s="1060"/>
    </row>
    <row r="8862" spans="25:26">
      <c r="Y8862" s="1354"/>
      <c r="Z8862" s="1060"/>
    </row>
    <row r="8863" spans="25:26">
      <c r="Y8863" s="1354"/>
      <c r="Z8863" s="1060"/>
    </row>
    <row r="8864" spans="25:26">
      <c r="Y8864" s="1354"/>
      <c r="Z8864" s="1060"/>
    </row>
    <row r="8865" spans="25:26">
      <c r="Y8865" s="1354"/>
      <c r="Z8865" s="1060"/>
    </row>
    <row r="8866" spans="25:26">
      <c r="Y8866" s="1354"/>
      <c r="Z8866" s="1060"/>
    </row>
    <row r="8867" spans="25:26">
      <c r="Y8867" s="1354"/>
      <c r="Z8867" s="1060"/>
    </row>
    <row r="8868" spans="25:26">
      <c r="Y8868" s="1354"/>
      <c r="Z8868" s="1060"/>
    </row>
    <row r="8869" spans="25:26">
      <c r="Y8869" s="1354"/>
      <c r="Z8869" s="1060"/>
    </row>
    <row r="8870" spans="25:26">
      <c r="Y8870" s="1354"/>
      <c r="Z8870" s="1060"/>
    </row>
    <row r="8871" spans="25:26">
      <c r="Y8871" s="1354"/>
      <c r="Z8871" s="1060"/>
    </row>
    <row r="8872" spans="25:26">
      <c r="Y8872" s="1354"/>
      <c r="Z8872" s="1060"/>
    </row>
    <row r="8873" spans="25:26">
      <c r="Y8873" s="1354"/>
      <c r="Z8873" s="1060"/>
    </row>
    <row r="8874" spans="25:26">
      <c r="Y8874" s="1354"/>
      <c r="Z8874" s="1060"/>
    </row>
    <row r="8875" spans="25:26">
      <c r="Y8875" s="1354"/>
      <c r="Z8875" s="1060"/>
    </row>
    <row r="8876" spans="25:26">
      <c r="Y8876" s="1354"/>
      <c r="Z8876" s="1060"/>
    </row>
    <row r="8877" spans="25:26">
      <c r="Y8877" s="1354"/>
      <c r="Z8877" s="1060"/>
    </row>
    <row r="8878" spans="25:26">
      <c r="Y8878" s="1354"/>
      <c r="Z8878" s="1060"/>
    </row>
    <row r="8879" spans="25:26">
      <c r="Y8879" s="1354"/>
      <c r="Z8879" s="1060"/>
    </row>
    <row r="8880" spans="25:26">
      <c r="Y8880" s="1354"/>
      <c r="Z8880" s="1060"/>
    </row>
    <row r="8881" spans="25:26">
      <c r="Y8881" s="1354"/>
      <c r="Z8881" s="1060"/>
    </row>
    <row r="8882" spans="25:26">
      <c r="Y8882" s="1354"/>
      <c r="Z8882" s="1060"/>
    </row>
    <row r="8883" spans="25:26">
      <c r="Y8883" s="1354"/>
      <c r="Z8883" s="1060"/>
    </row>
    <row r="8884" spans="25:26">
      <c r="Y8884" s="1354"/>
      <c r="Z8884" s="1060"/>
    </row>
    <row r="8885" spans="25:26">
      <c r="Y8885" s="1354"/>
      <c r="Z8885" s="1060"/>
    </row>
    <row r="8886" spans="25:26">
      <c r="Y8886" s="1354"/>
      <c r="Z8886" s="1060"/>
    </row>
    <row r="8887" spans="25:26">
      <c r="Y8887" s="1354"/>
      <c r="Z8887" s="1060"/>
    </row>
    <row r="8888" spans="25:26">
      <c r="Y8888" s="1354"/>
      <c r="Z8888" s="1060"/>
    </row>
    <row r="8889" spans="25:26">
      <c r="Y8889" s="1354"/>
      <c r="Z8889" s="1060"/>
    </row>
    <row r="8890" spans="25:26">
      <c r="Y8890" s="1354"/>
      <c r="Z8890" s="1060"/>
    </row>
    <row r="8891" spans="25:26">
      <c r="Y8891" s="1354"/>
      <c r="Z8891" s="1060"/>
    </row>
    <row r="8892" spans="25:26">
      <c r="Y8892" s="1354"/>
      <c r="Z8892" s="1060"/>
    </row>
    <row r="8893" spans="25:26">
      <c r="Y8893" s="1354"/>
      <c r="Z8893" s="1060"/>
    </row>
    <row r="8894" spans="25:26">
      <c r="Y8894" s="1354"/>
      <c r="Z8894" s="1060"/>
    </row>
    <row r="8895" spans="25:26">
      <c r="Y8895" s="1354"/>
      <c r="Z8895" s="1060"/>
    </row>
    <row r="8896" spans="25:26">
      <c r="Y8896" s="1354"/>
      <c r="Z8896" s="1060"/>
    </row>
    <row r="8897" spans="25:26">
      <c r="Y8897" s="1354"/>
      <c r="Z8897" s="1060"/>
    </row>
    <row r="8898" spans="25:26">
      <c r="Y8898" s="1354"/>
      <c r="Z8898" s="1060"/>
    </row>
    <row r="8899" spans="25:26">
      <c r="Y8899" s="1354"/>
      <c r="Z8899" s="1060"/>
    </row>
    <row r="8900" spans="25:26">
      <c r="Y8900" s="1354"/>
      <c r="Z8900" s="1060"/>
    </row>
    <row r="8901" spans="25:26">
      <c r="Y8901" s="1354"/>
      <c r="Z8901" s="1060"/>
    </row>
    <row r="8902" spans="25:26">
      <c r="Y8902" s="1354"/>
      <c r="Z8902" s="1060"/>
    </row>
    <row r="8903" spans="25:26">
      <c r="Y8903" s="1354"/>
      <c r="Z8903" s="1060"/>
    </row>
    <row r="8904" spans="25:26">
      <c r="Y8904" s="1354"/>
      <c r="Z8904" s="1060"/>
    </row>
    <row r="8905" spans="25:26">
      <c r="Y8905" s="1354"/>
      <c r="Z8905" s="1060"/>
    </row>
    <row r="8906" spans="25:26">
      <c r="Y8906" s="1354"/>
      <c r="Z8906" s="1060"/>
    </row>
    <row r="8907" spans="25:26">
      <c r="Y8907" s="1354"/>
      <c r="Z8907" s="1060"/>
    </row>
    <row r="8908" spans="25:26">
      <c r="Y8908" s="1354"/>
      <c r="Z8908" s="1060"/>
    </row>
    <row r="8909" spans="25:26">
      <c r="Y8909" s="1354"/>
      <c r="Z8909" s="1060"/>
    </row>
    <row r="8910" spans="25:26">
      <c r="Y8910" s="1354"/>
      <c r="Z8910" s="1060"/>
    </row>
    <row r="8911" spans="25:26">
      <c r="Y8911" s="1354"/>
      <c r="Z8911" s="1060"/>
    </row>
    <row r="8912" spans="25:26">
      <c r="Y8912" s="1354"/>
      <c r="Z8912" s="1060"/>
    </row>
    <row r="8913" spans="25:26">
      <c r="Y8913" s="1354"/>
      <c r="Z8913" s="1060"/>
    </row>
    <row r="8914" spans="25:26">
      <c r="Y8914" s="1354"/>
      <c r="Z8914" s="1060"/>
    </row>
    <row r="8915" spans="25:26">
      <c r="Y8915" s="1354"/>
      <c r="Z8915" s="1060"/>
    </row>
    <row r="8916" spans="25:26">
      <c r="Y8916" s="1354"/>
      <c r="Z8916" s="1060"/>
    </row>
    <row r="8917" spans="25:26">
      <c r="Y8917" s="1354"/>
      <c r="Z8917" s="1060"/>
    </row>
    <row r="8918" spans="25:26">
      <c r="Y8918" s="1354"/>
      <c r="Z8918" s="1060"/>
    </row>
    <row r="8919" spans="25:26">
      <c r="Y8919" s="1354"/>
      <c r="Z8919" s="1060"/>
    </row>
    <row r="8920" spans="25:26">
      <c r="Y8920" s="1354"/>
      <c r="Z8920" s="1060"/>
    </row>
    <row r="8921" spans="25:26">
      <c r="Y8921" s="1354"/>
      <c r="Z8921" s="1060"/>
    </row>
    <row r="8922" spans="25:26">
      <c r="Y8922" s="1354"/>
      <c r="Z8922" s="1060"/>
    </row>
    <row r="8923" spans="25:26">
      <c r="Y8923" s="1354"/>
      <c r="Z8923" s="1060"/>
    </row>
    <row r="8924" spans="25:26">
      <c r="Y8924" s="1354"/>
      <c r="Z8924" s="1060"/>
    </row>
    <row r="8925" spans="25:26">
      <c r="Y8925" s="1354"/>
      <c r="Z8925" s="1060"/>
    </row>
    <row r="8926" spans="25:26">
      <c r="Y8926" s="1354"/>
      <c r="Z8926" s="1060"/>
    </row>
    <row r="8927" spans="25:26">
      <c r="Y8927" s="1354"/>
      <c r="Z8927" s="1060"/>
    </row>
    <row r="8928" spans="25:26">
      <c r="Y8928" s="1354"/>
      <c r="Z8928" s="1060"/>
    </row>
    <row r="8929" spans="25:26">
      <c r="Y8929" s="1354"/>
      <c r="Z8929" s="1060"/>
    </row>
    <row r="8930" spans="25:26">
      <c r="Y8930" s="1354"/>
      <c r="Z8930" s="1060"/>
    </row>
    <row r="8931" spans="25:26">
      <c r="Y8931" s="1354"/>
      <c r="Z8931" s="1060"/>
    </row>
    <row r="8932" spans="25:26">
      <c r="Y8932" s="1354"/>
      <c r="Z8932" s="1060"/>
    </row>
    <row r="8933" spans="25:26">
      <c r="Y8933" s="1354"/>
      <c r="Z8933" s="1060"/>
    </row>
    <row r="8934" spans="25:26">
      <c r="Y8934" s="1354"/>
      <c r="Z8934" s="1060"/>
    </row>
    <row r="8935" spans="25:26">
      <c r="Y8935" s="1354"/>
      <c r="Z8935" s="1060"/>
    </row>
    <row r="8936" spans="25:26">
      <c r="Y8936" s="1354"/>
      <c r="Z8936" s="1060"/>
    </row>
    <row r="8937" spans="25:26">
      <c r="Y8937" s="1354"/>
      <c r="Z8937" s="1060"/>
    </row>
    <row r="8938" spans="25:26">
      <c r="Y8938" s="1354"/>
      <c r="Z8938" s="1060"/>
    </row>
    <row r="8939" spans="25:26">
      <c r="Y8939" s="1354"/>
      <c r="Z8939" s="1060"/>
    </row>
    <row r="8940" spans="25:26">
      <c r="Y8940" s="1354"/>
      <c r="Z8940" s="1060"/>
    </row>
    <row r="8941" spans="25:26">
      <c r="Y8941" s="1354"/>
      <c r="Z8941" s="1060"/>
    </row>
    <row r="8942" spans="25:26">
      <c r="Y8942" s="1354"/>
      <c r="Z8942" s="1060"/>
    </row>
    <row r="8943" spans="25:26">
      <c r="Y8943" s="1354"/>
      <c r="Z8943" s="1060"/>
    </row>
    <row r="8944" spans="25:26">
      <c r="Y8944" s="1354"/>
      <c r="Z8944" s="1060"/>
    </row>
    <row r="8945" spans="25:26">
      <c r="Y8945" s="1354"/>
      <c r="Z8945" s="1060"/>
    </row>
    <row r="8946" spans="25:26">
      <c r="Y8946" s="1354"/>
      <c r="Z8946" s="1060"/>
    </row>
    <row r="8947" spans="25:26">
      <c r="Y8947" s="1354"/>
      <c r="Z8947" s="1060"/>
    </row>
    <row r="8948" spans="25:26">
      <c r="Y8948" s="1354"/>
      <c r="Z8948" s="1060"/>
    </row>
    <row r="8949" spans="25:26">
      <c r="Y8949" s="1354"/>
      <c r="Z8949" s="1060"/>
    </row>
    <row r="8950" spans="25:26">
      <c r="Y8950" s="1354"/>
      <c r="Z8950" s="1060"/>
    </row>
    <row r="8951" spans="25:26">
      <c r="Y8951" s="1354"/>
      <c r="Z8951" s="1060"/>
    </row>
    <row r="8952" spans="25:26">
      <c r="Y8952" s="1354"/>
      <c r="Z8952" s="1060"/>
    </row>
    <row r="8953" spans="25:26">
      <c r="Y8953" s="1354"/>
      <c r="Z8953" s="1060"/>
    </row>
    <row r="8954" spans="25:26">
      <c r="Y8954" s="1354"/>
      <c r="Z8954" s="1060"/>
    </row>
    <row r="8955" spans="25:26">
      <c r="Y8955" s="1354"/>
      <c r="Z8955" s="1060"/>
    </row>
    <row r="8956" spans="25:26">
      <c r="Y8956" s="1354"/>
      <c r="Z8956" s="1060"/>
    </row>
    <row r="8957" spans="25:26">
      <c r="Y8957" s="1354"/>
      <c r="Z8957" s="1060"/>
    </row>
    <row r="8958" spans="25:26">
      <c r="Y8958" s="1354"/>
      <c r="Z8958" s="1060"/>
    </row>
    <row r="8959" spans="25:26">
      <c r="Y8959" s="1354"/>
      <c r="Z8959" s="1060"/>
    </row>
    <row r="8960" spans="25:26">
      <c r="Y8960" s="1354"/>
      <c r="Z8960" s="1060"/>
    </row>
    <row r="8961" spans="25:26">
      <c r="Y8961" s="1354"/>
      <c r="Z8961" s="1060"/>
    </row>
    <row r="8962" spans="25:26">
      <c r="Y8962" s="1354"/>
      <c r="Z8962" s="1060"/>
    </row>
    <row r="8963" spans="25:26">
      <c r="Y8963" s="1354"/>
      <c r="Z8963" s="1060"/>
    </row>
    <row r="8964" spans="25:26">
      <c r="Y8964" s="1354"/>
      <c r="Z8964" s="1060"/>
    </row>
    <row r="8965" spans="25:26">
      <c r="Y8965" s="1354"/>
      <c r="Z8965" s="1060"/>
    </row>
    <row r="8966" spans="25:26">
      <c r="Y8966" s="1354"/>
      <c r="Z8966" s="1060"/>
    </row>
    <row r="8967" spans="25:26">
      <c r="Y8967" s="1354"/>
      <c r="Z8967" s="1060"/>
    </row>
    <row r="8968" spans="25:26">
      <c r="Y8968" s="1354"/>
      <c r="Z8968" s="1060"/>
    </row>
    <row r="8969" spans="25:26">
      <c r="Y8969" s="1354"/>
      <c r="Z8969" s="1060"/>
    </row>
    <row r="8970" spans="25:26">
      <c r="Y8970" s="1354"/>
      <c r="Z8970" s="1060"/>
    </row>
    <row r="8971" spans="25:26">
      <c r="Y8971" s="1354"/>
      <c r="Z8971" s="1060"/>
    </row>
    <row r="8972" spans="25:26">
      <c r="Y8972" s="1354"/>
      <c r="Z8972" s="1060"/>
    </row>
    <row r="8973" spans="25:26">
      <c r="Y8973" s="1354"/>
      <c r="Z8973" s="1060"/>
    </row>
    <row r="8974" spans="25:26">
      <c r="Y8974" s="1354"/>
      <c r="Z8974" s="1060"/>
    </row>
    <row r="8975" spans="25:26">
      <c r="Y8975" s="1354"/>
      <c r="Z8975" s="1060"/>
    </row>
    <row r="8976" spans="25:26">
      <c r="Y8976" s="1354"/>
      <c r="Z8976" s="1060"/>
    </row>
    <row r="8977" spans="25:26">
      <c r="Y8977" s="1354"/>
      <c r="Z8977" s="1060"/>
    </row>
    <row r="8978" spans="25:26">
      <c r="Y8978" s="1354"/>
      <c r="Z8978" s="1060"/>
    </row>
    <row r="8979" spans="25:26">
      <c r="Y8979" s="1354"/>
      <c r="Z8979" s="1060"/>
    </row>
    <row r="8980" spans="25:26">
      <c r="Y8980" s="1354"/>
      <c r="Z8980" s="1060"/>
    </row>
    <row r="8981" spans="25:26">
      <c r="Y8981" s="1354"/>
      <c r="Z8981" s="1060"/>
    </row>
    <row r="8982" spans="25:26">
      <c r="Y8982" s="1354"/>
      <c r="Z8982" s="1060"/>
    </row>
    <row r="8983" spans="25:26">
      <c r="Y8983" s="1354"/>
      <c r="Z8983" s="1060"/>
    </row>
    <row r="8984" spans="25:26">
      <c r="Y8984" s="1354"/>
      <c r="Z8984" s="1060"/>
    </row>
    <row r="8985" spans="25:26">
      <c r="Y8985" s="1354"/>
      <c r="Z8985" s="1060"/>
    </row>
    <row r="8986" spans="25:26">
      <c r="Y8986" s="1354"/>
      <c r="Z8986" s="1060"/>
    </row>
    <row r="8987" spans="25:26">
      <c r="Y8987" s="1354"/>
      <c r="Z8987" s="1060"/>
    </row>
    <row r="8988" spans="25:26">
      <c r="Y8988" s="1354"/>
      <c r="Z8988" s="1060"/>
    </row>
    <row r="8989" spans="25:26">
      <c r="Y8989" s="1354"/>
      <c r="Z8989" s="1060"/>
    </row>
    <row r="8990" spans="25:26">
      <c r="Y8990" s="1354"/>
      <c r="Z8990" s="1060"/>
    </row>
    <row r="8991" spans="25:26">
      <c r="Y8991" s="1354"/>
      <c r="Z8991" s="1060"/>
    </row>
    <row r="8992" spans="25:26">
      <c r="Y8992" s="1354"/>
      <c r="Z8992" s="1060"/>
    </row>
    <row r="8993" spans="25:26">
      <c r="Y8993" s="1354"/>
      <c r="Z8993" s="1060"/>
    </row>
    <row r="8994" spans="25:26">
      <c r="Y8994" s="1354"/>
      <c r="Z8994" s="1060"/>
    </row>
    <row r="8995" spans="25:26">
      <c r="Y8995" s="1354"/>
      <c r="Z8995" s="1060"/>
    </row>
    <row r="8996" spans="25:26">
      <c r="Y8996" s="1354"/>
      <c r="Z8996" s="1060"/>
    </row>
    <row r="8997" spans="25:26">
      <c r="Y8997" s="1354"/>
      <c r="Z8997" s="1060"/>
    </row>
    <row r="8998" spans="25:26">
      <c r="Y8998" s="1354"/>
      <c r="Z8998" s="1060"/>
    </row>
    <row r="8999" spans="25:26">
      <c r="Y8999" s="1354"/>
      <c r="Z8999" s="1060"/>
    </row>
    <row r="9000" spans="25:26">
      <c r="Y9000" s="1354"/>
      <c r="Z9000" s="1060"/>
    </row>
    <row r="9001" spans="25:26">
      <c r="Y9001" s="1354"/>
      <c r="Z9001" s="1060"/>
    </row>
    <row r="9002" spans="25:26">
      <c r="Y9002" s="1354"/>
      <c r="Z9002" s="1060"/>
    </row>
    <row r="9003" spans="25:26">
      <c r="Y9003" s="1354"/>
      <c r="Z9003" s="1060"/>
    </row>
    <row r="9004" spans="25:26">
      <c r="Y9004" s="1354"/>
      <c r="Z9004" s="1060"/>
    </row>
    <row r="9005" spans="25:26">
      <c r="Y9005" s="1354"/>
      <c r="Z9005" s="1060"/>
    </row>
    <row r="9006" spans="25:26">
      <c r="Y9006" s="1354"/>
      <c r="Z9006" s="1060"/>
    </row>
    <row r="9007" spans="25:26">
      <c r="Y9007" s="1354"/>
      <c r="Z9007" s="1060"/>
    </row>
    <row r="9008" spans="25:26">
      <c r="Y9008" s="1354"/>
      <c r="Z9008" s="1060"/>
    </row>
    <row r="9009" spans="25:26">
      <c r="Y9009" s="1354"/>
      <c r="Z9009" s="1060"/>
    </row>
    <row r="9010" spans="25:26">
      <c r="Y9010" s="1354"/>
      <c r="Z9010" s="1060"/>
    </row>
    <row r="9011" spans="25:26">
      <c r="Y9011" s="1354"/>
      <c r="Z9011" s="1060"/>
    </row>
    <row r="9012" spans="25:26">
      <c r="Y9012" s="1354"/>
      <c r="Z9012" s="1060"/>
    </row>
    <row r="9013" spans="25:26">
      <c r="Y9013" s="1354"/>
      <c r="Z9013" s="1060"/>
    </row>
    <row r="9014" spans="25:26">
      <c r="Y9014" s="1354"/>
      <c r="Z9014" s="1060"/>
    </row>
    <row r="9015" spans="25:26">
      <c r="Y9015" s="1354"/>
      <c r="Z9015" s="1060"/>
    </row>
    <row r="9016" spans="25:26">
      <c r="Y9016" s="1354"/>
      <c r="Z9016" s="1060"/>
    </row>
    <row r="9017" spans="25:26">
      <c r="Y9017" s="1354"/>
      <c r="Z9017" s="1060"/>
    </row>
    <row r="9018" spans="25:26">
      <c r="Y9018" s="1354"/>
      <c r="Z9018" s="1060"/>
    </row>
    <row r="9019" spans="25:26">
      <c r="Y9019" s="1354"/>
      <c r="Z9019" s="1060"/>
    </row>
    <row r="9020" spans="25:26">
      <c r="Y9020" s="1354"/>
      <c r="Z9020" s="1060"/>
    </row>
    <row r="9021" spans="25:26">
      <c r="Y9021" s="1354"/>
      <c r="Z9021" s="1060"/>
    </row>
    <row r="9022" spans="25:26">
      <c r="Y9022" s="1354"/>
      <c r="Z9022" s="1060"/>
    </row>
    <row r="9023" spans="25:26">
      <c r="Y9023" s="1354"/>
      <c r="Z9023" s="1060"/>
    </row>
    <row r="9024" spans="25:26">
      <c r="Y9024" s="1354"/>
      <c r="Z9024" s="1060"/>
    </row>
    <row r="9025" spans="25:26">
      <c r="Y9025" s="1354"/>
      <c r="Z9025" s="1060"/>
    </row>
    <row r="9026" spans="25:26">
      <c r="Y9026" s="1354"/>
      <c r="Z9026" s="1060"/>
    </row>
    <row r="9027" spans="25:26">
      <c r="Y9027" s="1354"/>
      <c r="Z9027" s="1060"/>
    </row>
    <row r="9028" spans="25:26">
      <c r="Y9028" s="1354"/>
      <c r="Z9028" s="1060"/>
    </row>
    <row r="9029" spans="25:26">
      <c r="Y9029" s="1354"/>
      <c r="Z9029" s="1060"/>
    </row>
    <row r="9030" spans="25:26">
      <c r="Y9030" s="1354"/>
      <c r="Z9030" s="1060"/>
    </row>
    <row r="9031" spans="25:26">
      <c r="Y9031" s="1354"/>
      <c r="Z9031" s="1060"/>
    </row>
    <row r="9032" spans="25:26">
      <c r="Y9032" s="1354"/>
      <c r="Z9032" s="1060"/>
    </row>
    <row r="9033" spans="25:26">
      <c r="Y9033" s="1354"/>
      <c r="Z9033" s="1060"/>
    </row>
    <row r="9034" spans="25:26">
      <c r="Y9034" s="1354"/>
      <c r="Z9034" s="1060"/>
    </row>
    <row r="9035" spans="25:26">
      <c r="Y9035" s="1354"/>
      <c r="Z9035" s="1060"/>
    </row>
    <row r="9036" spans="25:26">
      <c r="Y9036" s="1354"/>
      <c r="Z9036" s="1060"/>
    </row>
    <row r="9037" spans="25:26">
      <c r="Y9037" s="1354"/>
      <c r="Z9037" s="1060"/>
    </row>
    <row r="9038" spans="25:26">
      <c r="Y9038" s="1354"/>
      <c r="Z9038" s="1060"/>
    </row>
    <row r="9039" spans="25:26">
      <c r="Y9039" s="1354"/>
      <c r="Z9039" s="1060"/>
    </row>
    <row r="9040" spans="25:26">
      <c r="Y9040" s="1354"/>
      <c r="Z9040" s="1060"/>
    </row>
    <row r="9041" spans="25:26">
      <c r="Y9041" s="1354"/>
      <c r="Z9041" s="1060"/>
    </row>
    <row r="9042" spans="25:26">
      <c r="Y9042" s="1354"/>
      <c r="Z9042" s="1060"/>
    </row>
    <row r="9043" spans="25:26">
      <c r="Y9043" s="1354"/>
      <c r="Z9043" s="1060"/>
    </row>
    <row r="9044" spans="25:26">
      <c r="Y9044" s="1354"/>
      <c r="Z9044" s="1060"/>
    </row>
    <row r="9045" spans="25:26">
      <c r="Y9045" s="1354"/>
      <c r="Z9045" s="1060"/>
    </row>
    <row r="9046" spans="25:26">
      <c r="Y9046" s="1354"/>
      <c r="Z9046" s="1060"/>
    </row>
    <row r="9047" spans="25:26">
      <c r="Y9047" s="1354"/>
      <c r="Z9047" s="1060"/>
    </row>
    <row r="9048" spans="25:26">
      <c r="Y9048" s="1354"/>
      <c r="Z9048" s="1060"/>
    </row>
    <row r="9049" spans="25:26">
      <c r="Y9049" s="1354"/>
      <c r="Z9049" s="1060"/>
    </row>
    <row r="9050" spans="25:26">
      <c r="Y9050" s="1354"/>
      <c r="Z9050" s="1060"/>
    </row>
    <row r="9051" spans="25:26">
      <c r="Y9051" s="1354"/>
      <c r="Z9051" s="1060"/>
    </row>
    <row r="9052" spans="25:26">
      <c r="Y9052" s="1354"/>
      <c r="Z9052" s="1060"/>
    </row>
    <row r="9053" spans="25:26">
      <c r="Y9053" s="1354"/>
      <c r="Z9053" s="1060"/>
    </row>
    <row r="9054" spans="25:26">
      <c r="Y9054" s="1354"/>
      <c r="Z9054" s="1060"/>
    </row>
    <row r="9055" spans="25:26">
      <c r="Y9055" s="1354"/>
      <c r="Z9055" s="1060"/>
    </row>
    <row r="9056" spans="25:26">
      <c r="Y9056" s="1354"/>
      <c r="Z9056" s="1060"/>
    </row>
    <row r="9057" spans="25:26">
      <c r="Y9057" s="1354"/>
      <c r="Z9057" s="1060"/>
    </row>
    <row r="9058" spans="25:26">
      <c r="Y9058" s="1354"/>
      <c r="Z9058" s="1060"/>
    </row>
    <row r="9059" spans="25:26">
      <c r="Y9059" s="1354"/>
      <c r="Z9059" s="1060"/>
    </row>
    <row r="9060" spans="25:26">
      <c r="Y9060" s="1354"/>
      <c r="Z9060" s="1060"/>
    </row>
    <row r="9061" spans="25:26">
      <c r="Y9061" s="1354"/>
      <c r="Z9061" s="1060"/>
    </row>
    <row r="9062" spans="25:26">
      <c r="Y9062" s="1354"/>
      <c r="Z9062" s="1060"/>
    </row>
    <row r="9063" spans="25:26">
      <c r="Y9063" s="1354"/>
      <c r="Z9063" s="1060"/>
    </row>
    <row r="9064" spans="25:26">
      <c r="Y9064" s="1354"/>
      <c r="Z9064" s="1060"/>
    </row>
    <row r="9065" spans="25:26">
      <c r="Y9065" s="1354"/>
      <c r="Z9065" s="1060"/>
    </row>
    <row r="9066" spans="25:26">
      <c r="Y9066" s="1354"/>
      <c r="Z9066" s="1060"/>
    </row>
    <row r="9067" spans="25:26">
      <c r="Y9067" s="1354"/>
      <c r="Z9067" s="1060"/>
    </row>
    <row r="9068" spans="25:26">
      <c r="Y9068" s="1354"/>
      <c r="Z9068" s="1060"/>
    </row>
    <row r="9069" spans="25:26">
      <c r="Y9069" s="1354"/>
      <c r="Z9069" s="1060"/>
    </row>
    <row r="9070" spans="25:26">
      <c r="Y9070" s="1354"/>
      <c r="Z9070" s="1060"/>
    </row>
    <row r="9071" spans="25:26">
      <c r="Y9071" s="1354"/>
      <c r="Z9071" s="1060"/>
    </row>
    <row r="9072" spans="25:26">
      <c r="Y9072" s="1354"/>
      <c r="Z9072" s="1060"/>
    </row>
    <row r="9073" spans="25:26">
      <c r="Y9073" s="1354"/>
      <c r="Z9073" s="1060"/>
    </row>
    <row r="9074" spans="25:26">
      <c r="Y9074" s="1354"/>
      <c r="Z9074" s="1060"/>
    </row>
    <row r="9075" spans="25:26">
      <c r="Y9075" s="1354"/>
      <c r="Z9075" s="1060"/>
    </row>
    <row r="9076" spans="25:26">
      <c r="Y9076" s="1354"/>
      <c r="Z9076" s="1060"/>
    </row>
    <row r="9077" spans="25:26">
      <c r="Y9077" s="1354"/>
      <c r="Z9077" s="1060"/>
    </row>
    <row r="9078" spans="25:26">
      <c r="Y9078" s="1354"/>
      <c r="Z9078" s="1060"/>
    </row>
    <row r="9079" spans="25:26">
      <c r="Y9079" s="1354"/>
      <c r="Z9079" s="1060"/>
    </row>
    <row r="9080" spans="25:26">
      <c r="Y9080" s="1354"/>
      <c r="Z9080" s="1060"/>
    </row>
    <row r="9081" spans="25:26">
      <c r="Y9081" s="1354"/>
      <c r="Z9081" s="1060"/>
    </row>
    <row r="9082" spans="25:26">
      <c r="Y9082" s="1354"/>
      <c r="Z9082" s="1060"/>
    </row>
    <row r="9083" spans="25:26">
      <c r="Y9083" s="1354"/>
      <c r="Z9083" s="1060"/>
    </row>
    <row r="9084" spans="25:26">
      <c r="Y9084" s="1354"/>
      <c r="Z9084" s="1060"/>
    </row>
    <row r="9085" spans="25:26">
      <c r="Y9085" s="1354"/>
      <c r="Z9085" s="1060"/>
    </row>
    <row r="9086" spans="25:26">
      <c r="Y9086" s="1354"/>
      <c r="Z9086" s="1060"/>
    </row>
    <row r="9087" spans="25:26">
      <c r="Y9087" s="1354"/>
      <c r="Z9087" s="1060"/>
    </row>
    <row r="9088" spans="25:26">
      <c r="Y9088" s="1354"/>
      <c r="Z9088" s="1060"/>
    </row>
    <row r="9089" spans="25:26">
      <c r="Y9089" s="1354"/>
      <c r="Z9089" s="1060"/>
    </row>
    <row r="9090" spans="25:26">
      <c r="Y9090" s="1354"/>
      <c r="Z9090" s="1060"/>
    </row>
    <row r="9091" spans="25:26">
      <c r="Y9091" s="1354"/>
      <c r="Z9091" s="1060"/>
    </row>
    <row r="9092" spans="25:26">
      <c r="Y9092" s="1354"/>
      <c r="Z9092" s="1060"/>
    </row>
    <row r="9093" spans="25:26">
      <c r="Y9093" s="1354"/>
      <c r="Z9093" s="1060"/>
    </row>
    <row r="9094" spans="25:26">
      <c r="Y9094" s="1354"/>
      <c r="Z9094" s="1060"/>
    </row>
    <row r="9095" spans="25:26">
      <c r="Y9095" s="1354"/>
      <c r="Z9095" s="1060"/>
    </row>
    <row r="9096" spans="25:26">
      <c r="Y9096" s="1354"/>
      <c r="Z9096" s="1060"/>
    </row>
    <row r="9097" spans="25:26">
      <c r="Y9097" s="1354"/>
      <c r="Z9097" s="1060"/>
    </row>
    <row r="9098" spans="25:26">
      <c r="Y9098" s="1354"/>
      <c r="Z9098" s="1060"/>
    </row>
    <row r="9099" spans="25:26">
      <c r="Y9099" s="1354"/>
      <c r="Z9099" s="1060"/>
    </row>
    <row r="9100" spans="25:26">
      <c r="Y9100" s="1354"/>
      <c r="Z9100" s="1060"/>
    </row>
    <row r="9101" spans="25:26">
      <c r="Y9101" s="1354"/>
      <c r="Z9101" s="1060"/>
    </row>
    <row r="9102" spans="25:26">
      <c r="Y9102" s="1354"/>
      <c r="Z9102" s="1060"/>
    </row>
    <row r="9103" spans="25:26">
      <c r="Y9103" s="1354"/>
      <c r="Z9103" s="1060"/>
    </row>
    <row r="9104" spans="25:26">
      <c r="Y9104" s="1354"/>
      <c r="Z9104" s="1060"/>
    </row>
    <row r="9105" spans="25:26">
      <c r="Y9105" s="1354"/>
      <c r="Z9105" s="1060"/>
    </row>
    <row r="9106" spans="25:26">
      <c r="Y9106" s="1354"/>
      <c r="Z9106" s="1060"/>
    </row>
    <row r="9107" spans="25:26">
      <c r="Y9107" s="1354"/>
      <c r="Z9107" s="1060"/>
    </row>
    <row r="9108" spans="25:26">
      <c r="Y9108" s="1354"/>
      <c r="Z9108" s="1060"/>
    </row>
    <row r="9109" spans="25:26">
      <c r="Y9109" s="1354"/>
      <c r="Z9109" s="1060"/>
    </row>
    <row r="9110" spans="25:26">
      <c r="Y9110" s="1354"/>
      <c r="Z9110" s="1060"/>
    </row>
    <row r="9111" spans="25:26">
      <c r="Y9111" s="1354"/>
      <c r="Z9111" s="1060"/>
    </row>
    <row r="9112" spans="25:26">
      <c r="Y9112" s="1354"/>
      <c r="Z9112" s="1060"/>
    </row>
    <row r="9113" spans="25:26">
      <c r="Y9113" s="1354"/>
      <c r="Z9113" s="1060"/>
    </row>
    <row r="9114" spans="25:26">
      <c r="Y9114" s="1354"/>
      <c r="Z9114" s="1060"/>
    </row>
    <row r="9115" spans="25:26">
      <c r="Y9115" s="1354"/>
      <c r="Z9115" s="1060"/>
    </row>
    <row r="9116" spans="25:26">
      <c r="Y9116" s="1354"/>
      <c r="Z9116" s="1060"/>
    </row>
    <row r="9117" spans="25:26">
      <c r="Y9117" s="1354"/>
      <c r="Z9117" s="1060"/>
    </row>
    <row r="9118" spans="25:26">
      <c r="Y9118" s="1354"/>
      <c r="Z9118" s="1060"/>
    </row>
    <row r="9119" spans="25:26">
      <c r="Y9119" s="1354"/>
      <c r="Z9119" s="1060"/>
    </row>
    <row r="9120" spans="25:26">
      <c r="Y9120" s="1354"/>
      <c r="Z9120" s="1060"/>
    </row>
    <row r="9121" spans="25:26">
      <c r="Y9121" s="1354"/>
      <c r="Z9121" s="1060"/>
    </row>
    <row r="9122" spans="25:26">
      <c r="Y9122" s="1354"/>
      <c r="Z9122" s="1060"/>
    </row>
    <row r="9123" spans="25:26">
      <c r="Y9123" s="1354"/>
      <c r="Z9123" s="1060"/>
    </row>
    <row r="9124" spans="25:26">
      <c r="Y9124" s="1354"/>
      <c r="Z9124" s="1060"/>
    </row>
    <row r="9125" spans="25:26">
      <c r="Y9125" s="1354"/>
      <c r="Z9125" s="1060"/>
    </row>
    <row r="9126" spans="25:26">
      <c r="Y9126" s="1354"/>
      <c r="Z9126" s="1060"/>
    </row>
    <row r="9127" spans="25:26">
      <c r="Y9127" s="1354"/>
      <c r="Z9127" s="1060"/>
    </row>
    <row r="9128" spans="25:26">
      <c r="Y9128" s="1354"/>
      <c r="Z9128" s="1060"/>
    </row>
    <row r="9129" spans="25:26">
      <c r="Y9129" s="1354"/>
      <c r="Z9129" s="1060"/>
    </row>
    <row r="9130" spans="25:26">
      <c r="Y9130" s="1354"/>
      <c r="Z9130" s="1060"/>
    </row>
    <row r="9131" spans="25:26">
      <c r="Y9131" s="1354"/>
      <c r="Z9131" s="1060"/>
    </row>
    <row r="9132" spans="25:26">
      <c r="Y9132" s="1354"/>
      <c r="Z9132" s="1060"/>
    </row>
    <row r="9133" spans="25:26">
      <c r="Y9133" s="1354"/>
      <c r="Z9133" s="1060"/>
    </row>
    <row r="9134" spans="25:26">
      <c r="Y9134" s="1354"/>
      <c r="Z9134" s="1060"/>
    </row>
    <row r="9135" spans="25:26">
      <c r="Y9135" s="1354"/>
      <c r="Z9135" s="1060"/>
    </row>
    <row r="9136" spans="25:26">
      <c r="Y9136" s="1354"/>
      <c r="Z9136" s="1060"/>
    </row>
    <row r="9137" spans="25:26">
      <c r="Y9137" s="1354"/>
      <c r="Z9137" s="1060"/>
    </row>
    <row r="9138" spans="25:26">
      <c r="Y9138" s="1354"/>
      <c r="Z9138" s="1060"/>
    </row>
    <row r="9139" spans="25:26">
      <c r="Y9139" s="1354"/>
      <c r="Z9139" s="1060"/>
    </row>
    <row r="9140" spans="25:26">
      <c r="Y9140" s="1354"/>
      <c r="Z9140" s="1060"/>
    </row>
    <row r="9141" spans="25:26">
      <c r="Y9141" s="1354"/>
      <c r="Z9141" s="1060"/>
    </row>
    <row r="9142" spans="25:26">
      <c r="Y9142" s="1354"/>
      <c r="Z9142" s="1060"/>
    </row>
    <row r="9143" spans="25:26">
      <c r="Y9143" s="1354"/>
      <c r="Z9143" s="1060"/>
    </row>
    <row r="9144" spans="25:26">
      <c r="Y9144" s="1354"/>
      <c r="Z9144" s="1060"/>
    </row>
    <row r="9145" spans="25:26">
      <c r="Y9145" s="1354"/>
      <c r="Z9145" s="1060"/>
    </row>
    <row r="9146" spans="25:26">
      <c r="Y9146" s="1354"/>
      <c r="Z9146" s="1060"/>
    </row>
    <row r="9147" spans="25:26">
      <c r="Y9147" s="1354"/>
      <c r="Z9147" s="1060"/>
    </row>
    <row r="9148" spans="25:26">
      <c r="Y9148" s="1354"/>
      <c r="Z9148" s="1060"/>
    </row>
    <row r="9149" spans="25:26">
      <c r="Y9149" s="1354"/>
      <c r="Z9149" s="1060"/>
    </row>
    <row r="9150" spans="25:26">
      <c r="Y9150" s="1354"/>
      <c r="Z9150" s="1060"/>
    </row>
    <row r="9151" spans="25:26">
      <c r="Y9151" s="1354"/>
      <c r="Z9151" s="1060"/>
    </row>
    <row r="9152" spans="25:26">
      <c r="Y9152" s="1354"/>
      <c r="Z9152" s="1060"/>
    </row>
    <row r="9153" spans="25:26">
      <c r="Y9153" s="1354"/>
      <c r="Z9153" s="1060"/>
    </row>
    <row r="9154" spans="25:26">
      <c r="Y9154" s="1354"/>
      <c r="Z9154" s="1060"/>
    </row>
    <row r="9155" spans="25:26">
      <c r="Y9155" s="1354"/>
      <c r="Z9155" s="1060"/>
    </row>
    <row r="9156" spans="25:26">
      <c r="Y9156" s="1354"/>
      <c r="Z9156" s="1060"/>
    </row>
    <row r="9157" spans="25:26">
      <c r="Y9157" s="1354"/>
      <c r="Z9157" s="1060"/>
    </row>
    <row r="9158" spans="25:26">
      <c r="Y9158" s="1354"/>
      <c r="Z9158" s="1060"/>
    </row>
    <row r="9159" spans="25:26">
      <c r="Y9159" s="1354"/>
      <c r="Z9159" s="1060"/>
    </row>
    <row r="9160" spans="25:26">
      <c r="Y9160" s="1354"/>
      <c r="Z9160" s="1060"/>
    </row>
    <row r="9161" spans="25:26">
      <c r="Y9161" s="1354"/>
      <c r="Z9161" s="1060"/>
    </row>
    <row r="9162" spans="25:26">
      <c r="Y9162" s="1354"/>
      <c r="Z9162" s="1060"/>
    </row>
    <row r="9163" spans="25:26">
      <c r="Y9163" s="1354"/>
      <c r="Z9163" s="1060"/>
    </row>
    <row r="9164" spans="25:26">
      <c r="Y9164" s="1354"/>
      <c r="Z9164" s="1060"/>
    </row>
    <row r="9165" spans="25:26">
      <c r="Y9165" s="1354"/>
      <c r="Z9165" s="1060"/>
    </row>
    <row r="9166" spans="25:26">
      <c r="Y9166" s="1354"/>
      <c r="Z9166" s="1060"/>
    </row>
    <row r="9167" spans="25:26">
      <c r="Y9167" s="1354"/>
      <c r="Z9167" s="1060"/>
    </row>
    <row r="9168" spans="25:26">
      <c r="Y9168" s="1354"/>
      <c r="Z9168" s="1060"/>
    </row>
    <row r="9169" spans="25:26">
      <c r="Y9169" s="1354"/>
      <c r="Z9169" s="1060"/>
    </row>
    <row r="9170" spans="25:26">
      <c r="Y9170" s="1354"/>
      <c r="Z9170" s="1060"/>
    </row>
    <row r="9171" spans="25:26">
      <c r="Y9171" s="1354"/>
      <c r="Z9171" s="1060"/>
    </row>
    <row r="9172" spans="25:26">
      <c r="Y9172" s="1354"/>
      <c r="Z9172" s="1060"/>
    </row>
    <row r="9173" spans="25:26">
      <c r="Y9173" s="1354"/>
      <c r="Z9173" s="1060"/>
    </row>
    <row r="9174" spans="25:26">
      <c r="Y9174" s="1354"/>
      <c r="Z9174" s="1060"/>
    </row>
    <row r="9175" spans="25:26">
      <c r="Y9175" s="1354"/>
      <c r="Z9175" s="1060"/>
    </row>
    <row r="9176" spans="25:26">
      <c r="Y9176" s="1354"/>
      <c r="Z9176" s="1060"/>
    </row>
    <row r="9177" spans="25:26">
      <c r="Y9177" s="1354"/>
      <c r="Z9177" s="1060"/>
    </row>
    <row r="9178" spans="25:26">
      <c r="Y9178" s="1354"/>
      <c r="Z9178" s="1060"/>
    </row>
    <row r="9179" spans="25:26">
      <c r="Y9179" s="1354"/>
      <c r="Z9179" s="1060"/>
    </row>
    <row r="9180" spans="25:26">
      <c r="Y9180" s="1354"/>
      <c r="Z9180" s="1060"/>
    </row>
    <row r="9181" spans="25:26">
      <c r="Y9181" s="1354"/>
      <c r="Z9181" s="1060"/>
    </row>
    <row r="9182" spans="25:26">
      <c r="Y9182" s="1354"/>
      <c r="Z9182" s="1060"/>
    </row>
    <row r="9183" spans="25:26">
      <c r="Y9183" s="1354"/>
      <c r="Z9183" s="1060"/>
    </row>
    <row r="9184" spans="25:26">
      <c r="Y9184" s="1354"/>
      <c r="Z9184" s="1060"/>
    </row>
    <row r="9185" spans="25:26">
      <c r="Y9185" s="1354"/>
      <c r="Z9185" s="1060"/>
    </row>
    <row r="9186" spans="25:26">
      <c r="Y9186" s="1354"/>
      <c r="Z9186" s="1060"/>
    </row>
    <row r="9187" spans="25:26">
      <c r="Y9187" s="1354"/>
      <c r="Z9187" s="1060"/>
    </row>
    <row r="9188" spans="25:26">
      <c r="Y9188" s="1354"/>
      <c r="Z9188" s="1060"/>
    </row>
    <row r="9189" spans="25:26">
      <c r="Y9189" s="1354"/>
      <c r="Z9189" s="1060"/>
    </row>
    <row r="9190" spans="25:26">
      <c r="Y9190" s="1354"/>
      <c r="Z9190" s="1060"/>
    </row>
    <row r="9191" spans="25:26">
      <c r="Y9191" s="1354"/>
      <c r="Z9191" s="1060"/>
    </row>
    <row r="9192" spans="25:26">
      <c r="Y9192" s="1354"/>
      <c r="Z9192" s="1060"/>
    </row>
    <row r="9193" spans="25:26">
      <c r="Y9193" s="1354"/>
      <c r="Z9193" s="1060"/>
    </row>
    <row r="9194" spans="25:26">
      <c r="Y9194" s="1354"/>
      <c r="Z9194" s="1060"/>
    </row>
    <row r="9195" spans="25:26">
      <c r="Y9195" s="1354"/>
      <c r="Z9195" s="1060"/>
    </row>
    <row r="9196" spans="25:26">
      <c r="Y9196" s="1354"/>
      <c r="Z9196" s="1060"/>
    </row>
    <row r="9197" spans="25:26">
      <c r="Y9197" s="1354"/>
      <c r="Z9197" s="1060"/>
    </row>
    <row r="9198" spans="25:26">
      <c r="Y9198" s="1354"/>
      <c r="Z9198" s="1060"/>
    </row>
    <row r="9199" spans="25:26">
      <c r="Y9199" s="1354"/>
      <c r="Z9199" s="1060"/>
    </row>
    <row r="9200" spans="25:26">
      <c r="Y9200" s="1354"/>
      <c r="Z9200" s="1060"/>
    </row>
    <row r="9201" spans="25:26">
      <c r="Y9201" s="1354"/>
      <c r="Z9201" s="1060"/>
    </row>
    <row r="9202" spans="25:26">
      <c r="Y9202" s="1354"/>
      <c r="Z9202" s="1060"/>
    </row>
    <row r="9203" spans="25:26">
      <c r="Y9203" s="1354"/>
      <c r="Z9203" s="1060"/>
    </row>
    <row r="9204" spans="25:26">
      <c r="Y9204" s="1354"/>
      <c r="Z9204" s="1060"/>
    </row>
    <row r="9205" spans="25:26">
      <c r="Y9205" s="1354"/>
      <c r="Z9205" s="1060"/>
    </row>
    <row r="9206" spans="25:26">
      <c r="Y9206" s="1354"/>
      <c r="Z9206" s="1060"/>
    </row>
    <row r="9207" spans="25:26">
      <c r="Y9207" s="1354"/>
      <c r="Z9207" s="1060"/>
    </row>
    <row r="9208" spans="25:26">
      <c r="Y9208" s="1354"/>
      <c r="Z9208" s="1060"/>
    </row>
    <row r="9209" spans="25:26">
      <c r="Y9209" s="1354"/>
      <c r="Z9209" s="1060"/>
    </row>
    <row r="9210" spans="25:26">
      <c r="Y9210" s="1354"/>
      <c r="Z9210" s="1060"/>
    </row>
    <row r="9211" spans="25:26">
      <c r="Y9211" s="1354"/>
      <c r="Z9211" s="1060"/>
    </row>
    <row r="9212" spans="25:26">
      <c r="Y9212" s="1354"/>
      <c r="Z9212" s="1060"/>
    </row>
    <row r="9213" spans="25:26">
      <c r="Y9213" s="1354"/>
      <c r="Z9213" s="1060"/>
    </row>
    <row r="9214" spans="25:26">
      <c r="Y9214" s="1354"/>
      <c r="Z9214" s="1060"/>
    </row>
    <row r="9215" spans="25:26">
      <c r="Y9215" s="1354"/>
      <c r="Z9215" s="1060"/>
    </row>
    <row r="9216" spans="25:26">
      <c r="Y9216" s="1354"/>
      <c r="Z9216" s="1060"/>
    </row>
    <row r="9217" spans="25:26">
      <c r="Y9217" s="1354"/>
      <c r="Z9217" s="1060"/>
    </row>
    <row r="9218" spans="25:26">
      <c r="Y9218" s="1354"/>
      <c r="Z9218" s="1060"/>
    </row>
    <row r="9219" spans="25:26">
      <c r="Y9219" s="1354"/>
      <c r="Z9219" s="1060"/>
    </row>
    <row r="9220" spans="25:26">
      <c r="Y9220" s="1354"/>
      <c r="Z9220" s="1060"/>
    </row>
    <row r="9221" spans="25:26">
      <c r="Y9221" s="1354"/>
      <c r="Z9221" s="1060"/>
    </row>
    <row r="9222" spans="25:26">
      <c r="Y9222" s="1354"/>
      <c r="Z9222" s="1060"/>
    </row>
    <row r="9223" spans="25:26">
      <c r="Y9223" s="1354"/>
      <c r="Z9223" s="1060"/>
    </row>
    <row r="9224" spans="25:26">
      <c r="Y9224" s="1354"/>
      <c r="Z9224" s="1060"/>
    </row>
    <row r="9225" spans="25:26">
      <c r="Y9225" s="1354"/>
      <c r="Z9225" s="1060"/>
    </row>
    <row r="9226" spans="25:26">
      <c r="Y9226" s="1354"/>
      <c r="Z9226" s="1060"/>
    </row>
    <row r="9227" spans="25:26">
      <c r="Y9227" s="1354"/>
      <c r="Z9227" s="1060"/>
    </row>
    <row r="9228" spans="25:26">
      <c r="Y9228" s="1354"/>
      <c r="Z9228" s="1060"/>
    </row>
    <row r="9229" spans="25:26">
      <c r="Y9229" s="1354"/>
      <c r="Z9229" s="1060"/>
    </row>
    <row r="9230" spans="25:26">
      <c r="Y9230" s="1354"/>
      <c r="Z9230" s="1060"/>
    </row>
    <row r="9231" spans="25:26">
      <c r="Y9231" s="1354"/>
      <c r="Z9231" s="1060"/>
    </row>
    <row r="9232" spans="25:26">
      <c r="Y9232" s="1354"/>
      <c r="Z9232" s="1060"/>
    </row>
    <row r="9233" spans="25:26">
      <c r="Y9233" s="1354"/>
      <c r="Z9233" s="1060"/>
    </row>
    <row r="9234" spans="25:26">
      <c r="Y9234" s="1354"/>
      <c r="Z9234" s="1060"/>
    </row>
    <row r="9235" spans="25:26">
      <c r="Y9235" s="1354"/>
      <c r="Z9235" s="1060"/>
    </row>
    <row r="9236" spans="25:26">
      <c r="Y9236" s="1354"/>
      <c r="Z9236" s="1060"/>
    </row>
    <row r="9237" spans="25:26">
      <c r="Y9237" s="1354"/>
      <c r="Z9237" s="1060"/>
    </row>
    <row r="9238" spans="25:26">
      <c r="Y9238" s="1354"/>
      <c r="Z9238" s="1060"/>
    </row>
    <row r="9239" spans="25:26">
      <c r="Y9239" s="1354"/>
      <c r="Z9239" s="1060"/>
    </row>
    <row r="9240" spans="25:26">
      <c r="Y9240" s="1354"/>
      <c r="Z9240" s="1060"/>
    </row>
    <row r="9241" spans="25:26">
      <c r="Y9241" s="1354"/>
      <c r="Z9241" s="1060"/>
    </row>
    <row r="9242" spans="25:26">
      <c r="Y9242" s="1354"/>
      <c r="Z9242" s="1060"/>
    </row>
    <row r="9243" spans="25:26">
      <c r="Y9243" s="1354"/>
      <c r="Z9243" s="1060"/>
    </row>
    <row r="9244" spans="25:26">
      <c r="Y9244" s="1354"/>
      <c r="Z9244" s="1060"/>
    </row>
    <row r="9245" spans="25:26">
      <c r="Y9245" s="1354"/>
      <c r="Z9245" s="1060"/>
    </row>
    <row r="9246" spans="25:26">
      <c r="Y9246" s="1354"/>
      <c r="Z9246" s="1060"/>
    </row>
    <row r="9247" spans="25:26">
      <c r="Y9247" s="1354"/>
      <c r="Z9247" s="1060"/>
    </row>
    <row r="9248" spans="25:26">
      <c r="Y9248" s="1354"/>
      <c r="Z9248" s="1060"/>
    </row>
    <row r="9249" spans="25:26">
      <c r="Y9249" s="1354"/>
      <c r="Z9249" s="1060"/>
    </row>
    <row r="9250" spans="25:26">
      <c r="Y9250" s="1354"/>
      <c r="Z9250" s="1060"/>
    </row>
    <row r="9251" spans="25:26">
      <c r="Y9251" s="1354"/>
      <c r="Z9251" s="1060"/>
    </row>
    <row r="9252" spans="25:26">
      <c r="Y9252" s="1354"/>
      <c r="Z9252" s="1060"/>
    </row>
    <row r="9253" spans="25:26">
      <c r="Y9253" s="1354"/>
      <c r="Z9253" s="1060"/>
    </row>
    <row r="9254" spans="25:26">
      <c r="Y9254" s="1354"/>
      <c r="Z9254" s="1060"/>
    </row>
    <row r="9255" spans="25:26">
      <c r="Y9255" s="1354"/>
      <c r="Z9255" s="1060"/>
    </row>
    <row r="9256" spans="25:26">
      <c r="Y9256" s="1354"/>
      <c r="Z9256" s="1060"/>
    </row>
    <row r="9257" spans="25:26">
      <c r="Y9257" s="1354"/>
      <c r="Z9257" s="1060"/>
    </row>
    <row r="9258" spans="25:26">
      <c r="Y9258" s="1354"/>
      <c r="Z9258" s="1060"/>
    </row>
    <row r="9259" spans="25:26">
      <c r="Y9259" s="1354"/>
      <c r="Z9259" s="1060"/>
    </row>
    <row r="9260" spans="25:26">
      <c r="Y9260" s="1354"/>
      <c r="Z9260" s="1060"/>
    </row>
    <row r="9261" spans="25:26">
      <c r="Y9261" s="1354"/>
      <c r="Z9261" s="1060"/>
    </row>
    <row r="9262" spans="25:26">
      <c r="Y9262" s="1354"/>
      <c r="Z9262" s="1060"/>
    </row>
    <row r="9263" spans="25:26">
      <c r="Y9263" s="1354"/>
      <c r="Z9263" s="1060"/>
    </row>
    <row r="9264" spans="25:26">
      <c r="Y9264" s="1354"/>
      <c r="Z9264" s="1060"/>
    </row>
    <row r="9265" spans="25:26">
      <c r="Y9265" s="1354"/>
      <c r="Z9265" s="1060"/>
    </row>
    <row r="9266" spans="25:26">
      <c r="Y9266" s="1354"/>
      <c r="Z9266" s="1060"/>
    </row>
    <row r="9267" spans="25:26">
      <c r="Y9267" s="1354"/>
      <c r="Z9267" s="1060"/>
    </row>
    <row r="9268" spans="25:26">
      <c r="Y9268" s="1354"/>
      <c r="Z9268" s="1060"/>
    </row>
    <row r="9269" spans="25:26">
      <c r="Y9269" s="1354"/>
      <c r="Z9269" s="1060"/>
    </row>
    <row r="9270" spans="25:26">
      <c r="Y9270" s="1354"/>
      <c r="Z9270" s="1060"/>
    </row>
    <row r="9271" spans="25:26">
      <c r="Y9271" s="1354"/>
      <c r="Z9271" s="1060"/>
    </row>
    <row r="9272" spans="25:26">
      <c r="Y9272" s="1354"/>
      <c r="Z9272" s="1060"/>
    </row>
    <row r="9273" spans="25:26">
      <c r="Y9273" s="1354"/>
      <c r="Z9273" s="1060"/>
    </row>
    <row r="9274" spans="25:26">
      <c r="Y9274" s="1354"/>
      <c r="Z9274" s="1060"/>
    </row>
    <row r="9275" spans="25:26">
      <c r="Y9275" s="1354"/>
      <c r="Z9275" s="1060"/>
    </row>
    <row r="9276" spans="25:26">
      <c r="Y9276" s="1354"/>
      <c r="Z9276" s="1060"/>
    </row>
    <row r="9277" spans="25:26">
      <c r="Y9277" s="1354"/>
      <c r="Z9277" s="1060"/>
    </row>
    <row r="9278" spans="25:26">
      <c r="Y9278" s="1354"/>
      <c r="Z9278" s="1060"/>
    </row>
    <row r="9279" spans="25:26">
      <c r="Y9279" s="1354"/>
      <c r="Z9279" s="1060"/>
    </row>
    <row r="9280" spans="25:26">
      <c r="Y9280" s="1354"/>
      <c r="Z9280" s="1060"/>
    </row>
    <row r="9281" spans="25:26">
      <c r="Y9281" s="1354"/>
      <c r="Z9281" s="1060"/>
    </row>
    <row r="9282" spans="25:26">
      <c r="Y9282" s="1354"/>
      <c r="Z9282" s="1060"/>
    </row>
    <row r="9283" spans="25:26">
      <c r="Y9283" s="1354"/>
      <c r="Z9283" s="1060"/>
    </row>
    <row r="9284" spans="25:26">
      <c r="Y9284" s="1354"/>
      <c r="Z9284" s="1060"/>
    </row>
    <row r="9285" spans="25:26">
      <c r="Y9285" s="1354"/>
      <c r="Z9285" s="1060"/>
    </row>
    <row r="9286" spans="25:26">
      <c r="Y9286" s="1354"/>
      <c r="Z9286" s="1060"/>
    </row>
    <row r="9287" spans="25:26">
      <c r="Y9287" s="1354"/>
      <c r="Z9287" s="1060"/>
    </row>
    <row r="9288" spans="25:26">
      <c r="Y9288" s="1354"/>
      <c r="Z9288" s="1060"/>
    </row>
    <row r="9289" spans="25:26">
      <c r="Y9289" s="1354"/>
      <c r="Z9289" s="1060"/>
    </row>
    <row r="9290" spans="25:26">
      <c r="Y9290" s="1354"/>
      <c r="Z9290" s="1060"/>
    </row>
    <row r="9291" spans="25:26">
      <c r="Y9291" s="1354"/>
      <c r="Z9291" s="1060"/>
    </row>
    <row r="9292" spans="25:26">
      <c r="Y9292" s="1354"/>
      <c r="Z9292" s="1060"/>
    </row>
    <row r="9293" spans="25:26">
      <c r="Y9293" s="1354"/>
      <c r="Z9293" s="1060"/>
    </row>
    <row r="9294" spans="25:26">
      <c r="Y9294" s="1354"/>
      <c r="Z9294" s="1060"/>
    </row>
    <row r="9295" spans="25:26">
      <c r="Y9295" s="1354"/>
      <c r="Z9295" s="1060"/>
    </row>
    <row r="9296" spans="25:26">
      <c r="Y9296" s="1354"/>
      <c r="Z9296" s="1060"/>
    </row>
    <row r="9297" spans="25:26">
      <c r="Y9297" s="1354"/>
      <c r="Z9297" s="1060"/>
    </row>
    <row r="9298" spans="25:26">
      <c r="Y9298" s="1354"/>
      <c r="Z9298" s="1060"/>
    </row>
    <row r="9299" spans="25:26">
      <c r="Y9299" s="1354"/>
      <c r="Z9299" s="1060"/>
    </row>
    <row r="9300" spans="25:26">
      <c r="Y9300" s="1354"/>
      <c r="Z9300" s="1060"/>
    </row>
    <row r="9301" spans="25:26">
      <c r="Y9301" s="1354"/>
      <c r="Z9301" s="1060"/>
    </row>
    <row r="9302" spans="25:26">
      <c r="Y9302" s="1354"/>
      <c r="Z9302" s="1060"/>
    </row>
    <row r="9303" spans="25:26">
      <c r="Y9303" s="1354"/>
      <c r="Z9303" s="1060"/>
    </row>
    <row r="9304" spans="25:26">
      <c r="Y9304" s="1354"/>
      <c r="Z9304" s="1060"/>
    </row>
    <row r="9305" spans="25:26">
      <c r="Y9305" s="1354"/>
      <c r="Z9305" s="1060"/>
    </row>
    <row r="9306" spans="25:26">
      <c r="Y9306" s="1354"/>
      <c r="Z9306" s="1060"/>
    </row>
    <row r="9307" spans="25:26">
      <c r="Y9307" s="1354"/>
      <c r="Z9307" s="1060"/>
    </row>
    <row r="9308" spans="25:26">
      <c r="Y9308" s="1354"/>
      <c r="Z9308" s="1060"/>
    </row>
    <row r="9309" spans="25:26">
      <c r="Y9309" s="1354"/>
      <c r="Z9309" s="1060"/>
    </row>
    <row r="9310" spans="25:26">
      <c r="Y9310" s="1354"/>
      <c r="Z9310" s="1060"/>
    </row>
    <row r="9311" spans="25:26">
      <c r="Y9311" s="1354"/>
      <c r="Z9311" s="1060"/>
    </row>
    <row r="9312" spans="25:26">
      <c r="Y9312" s="1354"/>
      <c r="Z9312" s="1060"/>
    </row>
    <row r="9313" spans="25:26">
      <c r="Y9313" s="1354"/>
      <c r="Z9313" s="1060"/>
    </row>
    <row r="9314" spans="25:26">
      <c r="Y9314" s="1354"/>
      <c r="Z9314" s="1060"/>
    </row>
    <row r="9315" spans="25:26">
      <c r="Y9315" s="1354"/>
      <c r="Z9315" s="1060"/>
    </row>
    <row r="9316" spans="25:26">
      <c r="Y9316" s="1354"/>
      <c r="Z9316" s="1060"/>
    </row>
    <row r="9317" spans="25:26">
      <c r="Y9317" s="1354"/>
      <c r="Z9317" s="1060"/>
    </row>
    <row r="9318" spans="25:26">
      <c r="Y9318" s="1354"/>
      <c r="Z9318" s="1060"/>
    </row>
    <row r="9319" spans="25:26">
      <c r="Y9319" s="1354"/>
      <c r="Z9319" s="1060"/>
    </row>
    <row r="9320" spans="25:26">
      <c r="Y9320" s="1354"/>
      <c r="Z9320" s="1060"/>
    </row>
    <row r="9321" spans="25:26">
      <c r="Y9321" s="1354"/>
      <c r="Z9321" s="1060"/>
    </row>
    <row r="9322" spans="25:26">
      <c r="Y9322" s="1354"/>
      <c r="Z9322" s="1060"/>
    </row>
    <row r="9323" spans="25:26">
      <c r="Y9323" s="1354"/>
      <c r="Z9323" s="1060"/>
    </row>
    <row r="9324" spans="25:26">
      <c r="Y9324" s="1354"/>
      <c r="Z9324" s="1060"/>
    </row>
    <row r="9325" spans="25:26">
      <c r="Y9325" s="1354"/>
      <c r="Z9325" s="1060"/>
    </row>
    <row r="9326" spans="25:26">
      <c r="Y9326" s="1354"/>
      <c r="Z9326" s="1060"/>
    </row>
    <row r="9327" spans="25:26">
      <c r="Y9327" s="1354"/>
      <c r="Z9327" s="1060"/>
    </row>
    <row r="9328" spans="25:26">
      <c r="Y9328" s="1354"/>
      <c r="Z9328" s="1060"/>
    </row>
    <row r="9329" spans="25:26">
      <c r="Y9329" s="1354"/>
      <c r="Z9329" s="1060"/>
    </row>
    <row r="9330" spans="25:26">
      <c r="Y9330" s="1354"/>
      <c r="Z9330" s="1060"/>
    </row>
    <row r="9331" spans="25:26">
      <c r="Y9331" s="1354"/>
      <c r="Z9331" s="1060"/>
    </row>
    <row r="9332" spans="25:26">
      <c r="Y9332" s="1354"/>
      <c r="Z9332" s="1060"/>
    </row>
    <row r="9333" spans="25:26">
      <c r="Y9333" s="1354"/>
      <c r="Z9333" s="1060"/>
    </row>
    <row r="9334" spans="25:26">
      <c r="Y9334" s="1354"/>
      <c r="Z9334" s="1060"/>
    </row>
    <row r="9335" spans="25:26">
      <c r="Y9335" s="1354"/>
      <c r="Z9335" s="1060"/>
    </row>
    <row r="9336" spans="25:26">
      <c r="Y9336" s="1354"/>
      <c r="Z9336" s="1060"/>
    </row>
    <row r="9337" spans="25:26">
      <c r="Y9337" s="1354"/>
      <c r="Z9337" s="1060"/>
    </row>
    <row r="9338" spans="25:26">
      <c r="Y9338" s="1354"/>
      <c r="Z9338" s="1060"/>
    </row>
    <row r="9339" spans="25:26">
      <c r="Y9339" s="1354"/>
      <c r="Z9339" s="1060"/>
    </row>
    <row r="9340" spans="25:26">
      <c r="Y9340" s="1354"/>
      <c r="Z9340" s="1060"/>
    </row>
    <row r="9341" spans="25:26">
      <c r="Y9341" s="1354"/>
      <c r="Z9341" s="1060"/>
    </row>
    <row r="9342" spans="25:26">
      <c r="Y9342" s="1354"/>
      <c r="Z9342" s="1060"/>
    </row>
    <row r="9343" spans="25:26">
      <c r="Y9343" s="1354"/>
      <c r="Z9343" s="1060"/>
    </row>
    <row r="9344" spans="25:26">
      <c r="Y9344" s="1354"/>
      <c r="Z9344" s="1060"/>
    </row>
    <row r="9345" spans="25:26">
      <c r="Y9345" s="1354"/>
      <c r="Z9345" s="1060"/>
    </row>
    <row r="9346" spans="25:26">
      <c r="Y9346" s="1354"/>
      <c r="Z9346" s="1060"/>
    </row>
    <row r="9347" spans="25:26">
      <c r="Y9347" s="1354"/>
      <c r="Z9347" s="1060"/>
    </row>
    <row r="9348" spans="25:26">
      <c r="Y9348" s="1354"/>
      <c r="Z9348" s="1060"/>
    </row>
    <row r="9349" spans="25:26">
      <c r="Y9349" s="1354"/>
      <c r="Z9349" s="1060"/>
    </row>
    <row r="9350" spans="25:26">
      <c r="Y9350" s="1354"/>
      <c r="Z9350" s="1060"/>
    </row>
    <row r="9351" spans="25:26">
      <c r="Y9351" s="1354"/>
      <c r="Z9351" s="1060"/>
    </row>
    <row r="9352" spans="25:26">
      <c r="Y9352" s="1354"/>
      <c r="Z9352" s="1060"/>
    </row>
    <row r="9353" spans="25:26">
      <c r="Y9353" s="1354"/>
      <c r="Z9353" s="1060"/>
    </row>
    <row r="9354" spans="25:26">
      <c r="Y9354" s="1354"/>
      <c r="Z9354" s="1060"/>
    </row>
    <row r="9355" spans="25:26">
      <c r="Y9355" s="1354"/>
      <c r="Z9355" s="1060"/>
    </row>
    <row r="9356" spans="25:26">
      <c r="Y9356" s="1354"/>
      <c r="Z9356" s="1060"/>
    </row>
    <row r="9357" spans="25:26">
      <c r="Y9357" s="1354"/>
      <c r="Z9357" s="1060"/>
    </row>
    <row r="9358" spans="25:26">
      <c r="Y9358" s="1354"/>
      <c r="Z9358" s="1060"/>
    </row>
    <row r="9359" spans="25:26">
      <c r="Y9359" s="1354"/>
      <c r="Z9359" s="1060"/>
    </row>
    <row r="9360" spans="25:26">
      <c r="Y9360" s="1354"/>
      <c r="Z9360" s="1060"/>
    </row>
    <row r="9361" spans="25:26">
      <c r="Y9361" s="1354"/>
      <c r="Z9361" s="1060"/>
    </row>
    <row r="9362" spans="25:26">
      <c r="Y9362" s="1354"/>
      <c r="Z9362" s="1060"/>
    </row>
    <row r="9363" spans="25:26">
      <c r="Y9363" s="1354"/>
      <c r="Z9363" s="1060"/>
    </row>
    <row r="9364" spans="25:26">
      <c r="Y9364" s="1354"/>
      <c r="Z9364" s="1060"/>
    </row>
    <row r="9365" spans="25:26">
      <c r="Y9365" s="1354"/>
      <c r="Z9365" s="1060"/>
    </row>
    <row r="9366" spans="25:26">
      <c r="Y9366" s="1354"/>
      <c r="Z9366" s="1060"/>
    </row>
    <row r="9367" spans="25:26">
      <c r="Y9367" s="1354"/>
      <c r="Z9367" s="1060"/>
    </row>
    <row r="9368" spans="25:26">
      <c r="Y9368" s="1354"/>
      <c r="Z9368" s="1060"/>
    </row>
    <row r="9369" spans="25:26">
      <c r="Y9369" s="1354"/>
      <c r="Z9369" s="1060"/>
    </row>
    <row r="9370" spans="25:26">
      <c r="Y9370" s="1354"/>
      <c r="Z9370" s="1060"/>
    </row>
    <row r="9371" spans="25:26">
      <c r="Y9371" s="1354"/>
      <c r="Z9371" s="1060"/>
    </row>
    <row r="9372" spans="25:26">
      <c r="Y9372" s="1354"/>
      <c r="Z9372" s="1060"/>
    </row>
    <row r="9373" spans="25:26">
      <c r="Y9373" s="1354"/>
      <c r="Z9373" s="1060"/>
    </row>
    <row r="9374" spans="25:26">
      <c r="Y9374" s="1354"/>
      <c r="Z9374" s="1060"/>
    </row>
    <row r="9375" spans="25:26">
      <c r="Y9375" s="1354"/>
      <c r="Z9375" s="1060"/>
    </row>
    <row r="9376" spans="25:26">
      <c r="Y9376" s="1354"/>
      <c r="Z9376" s="1060"/>
    </row>
    <row r="9377" spans="25:26">
      <c r="Y9377" s="1354"/>
      <c r="Z9377" s="1060"/>
    </row>
    <row r="9378" spans="25:26">
      <c r="Y9378" s="1354"/>
      <c r="Z9378" s="1060"/>
    </row>
    <row r="9379" spans="25:26">
      <c r="Y9379" s="1354"/>
      <c r="Z9379" s="1060"/>
    </row>
    <row r="9380" spans="25:26">
      <c r="Y9380" s="1354"/>
      <c r="Z9380" s="1060"/>
    </row>
    <row r="9381" spans="25:26">
      <c r="Y9381" s="1354"/>
      <c r="Z9381" s="1060"/>
    </row>
    <row r="9382" spans="25:26">
      <c r="Y9382" s="1354"/>
      <c r="Z9382" s="1060"/>
    </row>
    <row r="9383" spans="25:26">
      <c r="Y9383" s="1354"/>
      <c r="Z9383" s="1060"/>
    </row>
    <row r="9384" spans="25:26">
      <c r="Y9384" s="1354"/>
      <c r="Z9384" s="1060"/>
    </row>
    <row r="9385" spans="25:26">
      <c r="Y9385" s="1354"/>
      <c r="Z9385" s="1060"/>
    </row>
    <row r="9386" spans="25:26">
      <c r="Y9386" s="1354"/>
      <c r="Z9386" s="1060"/>
    </row>
    <row r="9387" spans="25:26">
      <c r="Y9387" s="1354"/>
      <c r="Z9387" s="1060"/>
    </row>
    <row r="9388" spans="25:26">
      <c r="Y9388" s="1354"/>
      <c r="Z9388" s="1060"/>
    </row>
    <row r="9389" spans="25:26">
      <c r="Y9389" s="1354"/>
      <c r="Z9389" s="1060"/>
    </row>
    <row r="9390" spans="25:26">
      <c r="Y9390" s="1354"/>
      <c r="Z9390" s="1060"/>
    </row>
    <row r="9391" spans="25:26">
      <c r="Y9391" s="1354"/>
      <c r="Z9391" s="1060"/>
    </row>
    <row r="9392" spans="25:26">
      <c r="Y9392" s="1354"/>
      <c r="Z9392" s="1060"/>
    </row>
    <row r="9393" spans="25:26">
      <c r="Y9393" s="1354"/>
      <c r="Z9393" s="1060"/>
    </row>
    <row r="9394" spans="25:26">
      <c r="Y9394" s="1354"/>
      <c r="Z9394" s="1060"/>
    </row>
    <row r="9395" spans="25:26">
      <c r="Y9395" s="1354"/>
      <c r="Z9395" s="1060"/>
    </row>
    <row r="9396" spans="25:26">
      <c r="Y9396" s="1354"/>
      <c r="Z9396" s="1060"/>
    </row>
    <row r="9397" spans="25:26">
      <c r="Y9397" s="1354"/>
      <c r="Z9397" s="1060"/>
    </row>
    <row r="9398" spans="25:26">
      <c r="Y9398" s="1354"/>
      <c r="Z9398" s="1060"/>
    </row>
    <row r="9399" spans="25:26">
      <c r="Y9399" s="1354"/>
      <c r="Z9399" s="1060"/>
    </row>
    <row r="9400" spans="25:26">
      <c r="Y9400" s="1354"/>
      <c r="Z9400" s="1060"/>
    </row>
    <row r="9401" spans="25:26">
      <c r="Y9401" s="1354"/>
      <c r="Z9401" s="1060"/>
    </row>
    <row r="9402" spans="25:26">
      <c r="Y9402" s="1354"/>
      <c r="Z9402" s="1060"/>
    </row>
    <row r="9403" spans="25:26">
      <c r="Y9403" s="1354"/>
      <c r="Z9403" s="1060"/>
    </row>
    <row r="9404" spans="25:26">
      <c r="Y9404" s="1354"/>
      <c r="Z9404" s="1060"/>
    </row>
    <row r="9405" spans="25:26">
      <c r="Y9405" s="1354"/>
      <c r="Z9405" s="1060"/>
    </row>
    <row r="9406" spans="25:26">
      <c r="Y9406" s="1354"/>
      <c r="Z9406" s="1060"/>
    </row>
    <row r="9407" spans="25:26">
      <c r="Y9407" s="1354"/>
      <c r="Z9407" s="1060"/>
    </row>
    <row r="9408" spans="25:26">
      <c r="Y9408" s="1354"/>
      <c r="Z9408" s="1060"/>
    </row>
    <row r="9409" spans="25:26">
      <c r="Y9409" s="1354"/>
      <c r="Z9409" s="1060"/>
    </row>
    <row r="9410" spans="25:26">
      <c r="Y9410" s="1354"/>
      <c r="Z9410" s="1060"/>
    </row>
    <row r="9411" spans="25:26">
      <c r="Y9411" s="1354"/>
      <c r="Z9411" s="1060"/>
    </row>
    <row r="9412" spans="25:26">
      <c r="Y9412" s="1354"/>
      <c r="Z9412" s="1060"/>
    </row>
    <row r="9413" spans="25:26">
      <c r="Y9413" s="1354"/>
      <c r="Z9413" s="1060"/>
    </row>
    <row r="9414" spans="25:26">
      <c r="Y9414" s="1354"/>
      <c r="Z9414" s="1060"/>
    </row>
    <row r="9415" spans="25:26">
      <c r="Y9415" s="1354"/>
      <c r="Z9415" s="1060"/>
    </row>
    <row r="9416" spans="25:26">
      <c r="Y9416" s="1354"/>
      <c r="Z9416" s="1060"/>
    </row>
    <row r="9417" spans="25:26">
      <c r="Y9417" s="1354"/>
      <c r="Z9417" s="1060"/>
    </row>
    <row r="9418" spans="25:26">
      <c r="Y9418" s="1354"/>
      <c r="Z9418" s="1060"/>
    </row>
    <row r="9419" spans="25:26">
      <c r="Y9419" s="1354"/>
      <c r="Z9419" s="1060"/>
    </row>
    <row r="9420" spans="25:26">
      <c r="Y9420" s="1354"/>
      <c r="Z9420" s="1060"/>
    </row>
    <row r="9421" spans="25:26">
      <c r="Y9421" s="1354"/>
      <c r="Z9421" s="1060"/>
    </row>
    <row r="9422" spans="25:26">
      <c r="Y9422" s="1354"/>
      <c r="Z9422" s="1060"/>
    </row>
    <row r="9423" spans="25:26">
      <c r="Y9423" s="1354"/>
      <c r="Z9423" s="1060"/>
    </row>
    <row r="9424" spans="25:26">
      <c r="Y9424" s="1354"/>
      <c r="Z9424" s="1060"/>
    </row>
    <row r="9425" spans="25:26">
      <c r="Y9425" s="1354"/>
      <c r="Z9425" s="1060"/>
    </row>
    <row r="9426" spans="25:26">
      <c r="Y9426" s="1354"/>
      <c r="Z9426" s="1060"/>
    </row>
    <row r="9427" spans="25:26">
      <c r="Y9427" s="1354"/>
      <c r="Z9427" s="1060"/>
    </row>
    <row r="9428" spans="25:26">
      <c r="Y9428" s="1354"/>
      <c r="Z9428" s="1060"/>
    </row>
    <row r="9429" spans="25:26">
      <c r="Y9429" s="1354"/>
      <c r="Z9429" s="1060"/>
    </row>
    <row r="9430" spans="25:26">
      <c r="Y9430" s="1354"/>
      <c r="Z9430" s="1060"/>
    </row>
    <row r="9431" spans="25:26">
      <c r="Y9431" s="1354"/>
      <c r="Z9431" s="1060"/>
    </row>
    <row r="9432" spans="25:26">
      <c r="Y9432" s="1354"/>
      <c r="Z9432" s="1060"/>
    </row>
    <row r="9433" spans="25:26">
      <c r="Y9433" s="1354"/>
      <c r="Z9433" s="1060"/>
    </row>
    <row r="9434" spans="25:26">
      <c r="Y9434" s="1354"/>
      <c r="Z9434" s="1060"/>
    </row>
    <row r="9435" spans="25:26">
      <c r="Y9435" s="1354"/>
      <c r="Z9435" s="1060"/>
    </row>
    <row r="9436" spans="25:26">
      <c r="Y9436" s="1354"/>
      <c r="Z9436" s="1060"/>
    </row>
    <row r="9437" spans="25:26">
      <c r="Y9437" s="1354"/>
      <c r="Z9437" s="1060"/>
    </row>
    <row r="9438" spans="25:26">
      <c r="Y9438" s="1354"/>
      <c r="Z9438" s="1060"/>
    </row>
    <row r="9439" spans="25:26">
      <c r="Y9439" s="1354"/>
      <c r="Z9439" s="1060"/>
    </row>
    <row r="9440" spans="25:26">
      <c r="Y9440" s="1354"/>
      <c r="Z9440" s="1060"/>
    </row>
    <row r="9441" spans="25:26">
      <c r="Y9441" s="1354"/>
      <c r="Z9441" s="1060"/>
    </row>
    <row r="9442" spans="25:26">
      <c r="Y9442" s="1354"/>
      <c r="Z9442" s="1060"/>
    </row>
    <row r="9443" spans="25:26">
      <c r="Y9443" s="1354"/>
      <c r="Z9443" s="1060"/>
    </row>
    <row r="9444" spans="25:26">
      <c r="Y9444" s="1354"/>
      <c r="Z9444" s="1060"/>
    </row>
    <row r="9445" spans="25:26">
      <c r="Y9445" s="1354"/>
      <c r="Z9445" s="1060"/>
    </row>
    <row r="9446" spans="25:26">
      <c r="Y9446" s="1354"/>
      <c r="Z9446" s="1060"/>
    </row>
    <row r="9447" spans="25:26">
      <c r="Y9447" s="1354"/>
      <c r="Z9447" s="1060"/>
    </row>
    <row r="9448" spans="25:26">
      <c r="Y9448" s="1354"/>
      <c r="Z9448" s="1060"/>
    </row>
    <row r="9449" spans="25:26">
      <c r="Y9449" s="1354"/>
      <c r="Z9449" s="1060"/>
    </row>
    <row r="9450" spans="25:26">
      <c r="Y9450" s="1354"/>
      <c r="Z9450" s="1060"/>
    </row>
    <row r="9451" spans="25:26">
      <c r="Y9451" s="1354"/>
      <c r="Z9451" s="1060"/>
    </row>
    <row r="9452" spans="25:26">
      <c r="Y9452" s="1354"/>
      <c r="Z9452" s="1060"/>
    </row>
    <row r="9453" spans="25:26">
      <c r="Y9453" s="1354"/>
      <c r="Z9453" s="1060"/>
    </row>
    <row r="9454" spans="25:26">
      <c r="Y9454" s="1354"/>
      <c r="Z9454" s="1060"/>
    </row>
    <row r="9455" spans="25:26">
      <c r="Y9455" s="1354"/>
      <c r="Z9455" s="1060"/>
    </row>
    <row r="9456" spans="25:26">
      <c r="Y9456" s="1354"/>
      <c r="Z9456" s="1060"/>
    </row>
    <row r="9457" spans="25:26">
      <c r="Y9457" s="1354"/>
      <c r="Z9457" s="1060"/>
    </row>
    <row r="9458" spans="25:26">
      <c r="Y9458" s="1354"/>
      <c r="Z9458" s="1060"/>
    </row>
    <row r="9459" spans="25:26">
      <c r="Y9459" s="1354"/>
      <c r="Z9459" s="1060"/>
    </row>
    <row r="9460" spans="25:26">
      <c r="Y9460" s="1354"/>
      <c r="Z9460" s="1060"/>
    </row>
    <row r="9461" spans="25:26">
      <c r="Y9461" s="1354"/>
      <c r="Z9461" s="1060"/>
    </row>
    <row r="9462" spans="25:26">
      <c r="Y9462" s="1354"/>
      <c r="Z9462" s="1060"/>
    </row>
    <row r="9463" spans="25:26">
      <c r="Y9463" s="1354"/>
      <c r="Z9463" s="1060"/>
    </row>
    <row r="9464" spans="25:26">
      <c r="Y9464" s="1354"/>
      <c r="Z9464" s="1060"/>
    </row>
    <row r="9465" spans="25:26">
      <c r="Y9465" s="1354"/>
      <c r="Z9465" s="1060"/>
    </row>
    <row r="9466" spans="25:26">
      <c r="Y9466" s="1354"/>
      <c r="Z9466" s="1060"/>
    </row>
    <row r="9467" spans="25:26">
      <c r="Y9467" s="1354"/>
      <c r="Z9467" s="1060"/>
    </row>
    <row r="9468" spans="25:26">
      <c r="Y9468" s="1354"/>
      <c r="Z9468" s="1060"/>
    </row>
    <row r="9469" spans="25:26">
      <c r="Y9469" s="1354"/>
      <c r="Z9469" s="1060"/>
    </row>
    <row r="9470" spans="25:26">
      <c r="Y9470" s="1354"/>
      <c r="Z9470" s="1060"/>
    </row>
    <row r="9471" spans="25:26">
      <c r="Y9471" s="1354"/>
      <c r="Z9471" s="1060"/>
    </row>
    <row r="9472" spans="25:26">
      <c r="Y9472" s="1354"/>
      <c r="Z9472" s="1060"/>
    </row>
    <row r="9473" spans="25:26">
      <c r="Y9473" s="1354"/>
      <c r="Z9473" s="1060"/>
    </row>
    <row r="9474" spans="25:26">
      <c r="Y9474" s="1354"/>
      <c r="Z9474" s="1060"/>
    </row>
    <row r="9475" spans="25:26">
      <c r="Y9475" s="1354"/>
      <c r="Z9475" s="1060"/>
    </row>
    <row r="9476" spans="25:26">
      <c r="Y9476" s="1354"/>
      <c r="Z9476" s="1060"/>
    </row>
    <row r="9477" spans="25:26">
      <c r="Y9477" s="1354"/>
      <c r="Z9477" s="1060"/>
    </row>
    <row r="9478" spans="25:26">
      <c r="Y9478" s="1354"/>
      <c r="Z9478" s="1060"/>
    </row>
    <row r="9479" spans="25:26">
      <c r="Y9479" s="1354"/>
      <c r="Z9479" s="1060"/>
    </row>
    <row r="9480" spans="25:26">
      <c r="Y9480" s="1354"/>
      <c r="Z9480" s="1060"/>
    </row>
    <row r="9481" spans="25:26">
      <c r="Y9481" s="1354"/>
      <c r="Z9481" s="1060"/>
    </row>
    <row r="9482" spans="25:26">
      <c r="Y9482" s="1354"/>
      <c r="Z9482" s="1060"/>
    </row>
    <row r="9483" spans="25:26">
      <c r="Y9483" s="1354"/>
      <c r="Z9483" s="1060"/>
    </row>
    <row r="9484" spans="25:26">
      <c r="Y9484" s="1354"/>
      <c r="Z9484" s="1060"/>
    </row>
    <row r="9485" spans="25:26">
      <c r="Y9485" s="1354"/>
      <c r="Z9485" s="1060"/>
    </row>
    <row r="9486" spans="25:26">
      <c r="Y9486" s="1354"/>
      <c r="Z9486" s="1060"/>
    </row>
    <row r="9487" spans="25:26">
      <c r="Y9487" s="1354"/>
      <c r="Z9487" s="1060"/>
    </row>
    <row r="9488" spans="25:26">
      <c r="Y9488" s="1354"/>
      <c r="Z9488" s="1060"/>
    </row>
    <row r="9489" spans="25:26">
      <c r="Y9489" s="1354"/>
      <c r="Z9489" s="1060"/>
    </row>
    <row r="9490" spans="25:26">
      <c r="Y9490" s="1354"/>
      <c r="Z9490" s="1060"/>
    </row>
    <row r="9491" spans="25:26">
      <c r="Y9491" s="1354"/>
      <c r="Z9491" s="1060"/>
    </row>
    <row r="9492" spans="25:26">
      <c r="Y9492" s="1354"/>
      <c r="Z9492" s="1060"/>
    </row>
    <row r="9493" spans="25:26">
      <c r="Y9493" s="1354"/>
      <c r="Z9493" s="1060"/>
    </row>
    <row r="9494" spans="25:26">
      <c r="Y9494" s="1354"/>
      <c r="Z9494" s="1060"/>
    </row>
    <row r="9495" spans="25:26">
      <c r="Y9495" s="1354"/>
      <c r="Z9495" s="1060"/>
    </row>
    <row r="9496" spans="25:26">
      <c r="Y9496" s="1354"/>
      <c r="Z9496" s="1060"/>
    </row>
    <row r="9497" spans="25:26">
      <c r="Y9497" s="1354"/>
      <c r="Z9497" s="1060"/>
    </row>
    <row r="9498" spans="25:26">
      <c r="Y9498" s="1354"/>
      <c r="Z9498" s="1060"/>
    </row>
    <row r="9499" spans="25:26">
      <c r="Y9499" s="1354"/>
      <c r="Z9499" s="1060"/>
    </row>
    <row r="9500" spans="25:26">
      <c r="Y9500" s="1354"/>
      <c r="Z9500" s="1060"/>
    </row>
    <row r="9501" spans="25:26">
      <c r="Y9501" s="1354"/>
      <c r="Z9501" s="1060"/>
    </row>
    <row r="9502" spans="25:26">
      <c r="Y9502" s="1354"/>
      <c r="Z9502" s="1060"/>
    </row>
    <row r="9503" spans="25:26">
      <c r="Y9503" s="1354"/>
      <c r="Z9503" s="1060"/>
    </row>
    <row r="9504" spans="25:26">
      <c r="Y9504" s="1354"/>
      <c r="Z9504" s="1060"/>
    </row>
    <row r="9505" spans="25:26">
      <c r="Y9505" s="1354"/>
      <c r="Z9505" s="1060"/>
    </row>
    <row r="9506" spans="25:26">
      <c r="Y9506" s="1354"/>
      <c r="Z9506" s="1060"/>
    </row>
    <row r="9507" spans="25:26">
      <c r="Y9507" s="1354"/>
      <c r="Z9507" s="1060"/>
    </row>
    <row r="9508" spans="25:26">
      <c r="Y9508" s="1354"/>
      <c r="Z9508" s="1060"/>
    </row>
    <row r="9509" spans="25:26">
      <c r="Y9509" s="1354"/>
      <c r="Z9509" s="1060"/>
    </row>
    <row r="9510" spans="25:26">
      <c r="Y9510" s="1354"/>
      <c r="Z9510" s="1060"/>
    </row>
    <row r="9511" spans="25:26">
      <c r="Y9511" s="1354"/>
      <c r="Z9511" s="1060"/>
    </row>
    <row r="9512" spans="25:26">
      <c r="Y9512" s="1354"/>
      <c r="Z9512" s="1060"/>
    </row>
    <row r="9513" spans="25:26">
      <c r="Y9513" s="1354"/>
      <c r="Z9513" s="1060"/>
    </row>
    <row r="9514" spans="25:26">
      <c r="Y9514" s="1354"/>
      <c r="Z9514" s="1060"/>
    </row>
    <row r="9515" spans="25:26">
      <c r="Y9515" s="1354"/>
      <c r="Z9515" s="1060"/>
    </row>
    <row r="9516" spans="25:26">
      <c r="Y9516" s="1354"/>
      <c r="Z9516" s="1060"/>
    </row>
    <row r="9517" spans="25:26">
      <c r="Y9517" s="1354"/>
      <c r="Z9517" s="1060"/>
    </row>
    <row r="9518" spans="25:26">
      <c r="Y9518" s="1354"/>
      <c r="Z9518" s="1060"/>
    </row>
    <row r="9519" spans="25:26">
      <c r="Y9519" s="1354"/>
      <c r="Z9519" s="1060"/>
    </row>
    <row r="9520" spans="25:26">
      <c r="Y9520" s="1354"/>
      <c r="Z9520" s="1060"/>
    </row>
    <row r="9521" spans="25:26">
      <c r="Y9521" s="1354"/>
      <c r="Z9521" s="1060"/>
    </row>
    <row r="9522" spans="25:26">
      <c r="Y9522" s="1354"/>
      <c r="Z9522" s="1060"/>
    </row>
    <row r="9523" spans="25:26">
      <c r="Y9523" s="1354"/>
      <c r="Z9523" s="1060"/>
    </row>
    <row r="9524" spans="25:26">
      <c r="Y9524" s="1354"/>
      <c r="Z9524" s="1060"/>
    </row>
    <row r="9525" spans="25:26">
      <c r="Y9525" s="1354"/>
      <c r="Z9525" s="1060"/>
    </row>
    <row r="9526" spans="25:26">
      <c r="Y9526" s="1354"/>
      <c r="Z9526" s="1060"/>
    </row>
    <row r="9527" spans="25:26">
      <c r="Y9527" s="1354"/>
      <c r="Z9527" s="1060"/>
    </row>
    <row r="9528" spans="25:26">
      <c r="Y9528" s="1354"/>
      <c r="Z9528" s="1060"/>
    </row>
    <row r="9529" spans="25:26">
      <c r="Y9529" s="1354"/>
      <c r="Z9529" s="1060"/>
    </row>
    <row r="9530" spans="25:26">
      <c r="Y9530" s="1354"/>
      <c r="Z9530" s="1060"/>
    </row>
    <row r="9531" spans="25:26">
      <c r="Y9531" s="1354"/>
      <c r="Z9531" s="1060"/>
    </row>
    <row r="9532" spans="25:26">
      <c r="Y9532" s="1354"/>
      <c r="Z9532" s="1060"/>
    </row>
    <row r="9533" spans="25:26">
      <c r="Y9533" s="1354"/>
      <c r="Z9533" s="1060"/>
    </row>
    <row r="9534" spans="25:26">
      <c r="Y9534" s="1354"/>
      <c r="Z9534" s="1060"/>
    </row>
    <row r="9535" spans="25:26">
      <c r="Y9535" s="1354"/>
      <c r="Z9535" s="1060"/>
    </row>
    <row r="9536" spans="25:26">
      <c r="Y9536" s="1354"/>
      <c r="Z9536" s="1060"/>
    </row>
    <row r="9537" spans="25:26">
      <c r="Y9537" s="1354"/>
      <c r="Z9537" s="1060"/>
    </row>
    <row r="9538" spans="25:26">
      <c r="Y9538" s="1354"/>
      <c r="Z9538" s="1060"/>
    </row>
    <row r="9539" spans="25:26">
      <c r="Y9539" s="1354"/>
      <c r="Z9539" s="1060"/>
    </row>
    <row r="9540" spans="25:26">
      <c r="Y9540" s="1354"/>
      <c r="Z9540" s="1060"/>
    </row>
    <row r="9541" spans="25:26">
      <c r="Y9541" s="1354"/>
      <c r="Z9541" s="1060"/>
    </row>
    <row r="9542" spans="25:26">
      <c r="Y9542" s="1354"/>
      <c r="Z9542" s="1060"/>
    </row>
    <row r="9543" spans="25:26">
      <c r="Y9543" s="1354"/>
      <c r="Z9543" s="1060"/>
    </row>
    <row r="9544" spans="25:26">
      <c r="Y9544" s="1354"/>
      <c r="Z9544" s="1060"/>
    </row>
    <row r="9545" spans="25:26">
      <c r="Y9545" s="1354"/>
      <c r="Z9545" s="1060"/>
    </row>
    <row r="9546" spans="25:26">
      <c r="Y9546" s="1354"/>
      <c r="Z9546" s="1060"/>
    </row>
    <row r="9547" spans="25:26">
      <c r="Y9547" s="1354"/>
      <c r="Z9547" s="1060"/>
    </row>
    <row r="9548" spans="25:26">
      <c r="Y9548" s="1354"/>
      <c r="Z9548" s="1060"/>
    </row>
    <row r="9549" spans="25:26">
      <c r="Y9549" s="1354"/>
      <c r="Z9549" s="1060"/>
    </row>
    <row r="9550" spans="25:26">
      <c r="Y9550" s="1354"/>
      <c r="Z9550" s="1060"/>
    </row>
    <row r="9551" spans="25:26">
      <c r="Y9551" s="1354"/>
      <c r="Z9551" s="1060"/>
    </row>
    <row r="9552" spans="25:26">
      <c r="Y9552" s="1354"/>
      <c r="Z9552" s="1060"/>
    </row>
    <row r="9553" spans="25:26">
      <c r="Y9553" s="1354"/>
      <c r="Z9553" s="1060"/>
    </row>
    <row r="9554" spans="25:26">
      <c r="Y9554" s="1354"/>
      <c r="Z9554" s="1060"/>
    </row>
    <row r="9555" spans="25:26">
      <c r="Y9555" s="1354"/>
      <c r="Z9555" s="1060"/>
    </row>
    <row r="9556" spans="25:26">
      <c r="Y9556" s="1354"/>
      <c r="Z9556" s="1060"/>
    </row>
    <row r="9557" spans="25:26">
      <c r="Y9557" s="1354"/>
      <c r="Z9557" s="1060"/>
    </row>
    <row r="9558" spans="25:26">
      <c r="Y9558" s="1354"/>
      <c r="Z9558" s="1060"/>
    </row>
    <row r="9559" spans="25:26">
      <c r="Y9559" s="1354"/>
      <c r="Z9559" s="1060"/>
    </row>
    <row r="9560" spans="25:26">
      <c r="Y9560" s="1354"/>
      <c r="Z9560" s="1060"/>
    </row>
    <row r="9561" spans="25:26">
      <c r="Y9561" s="1354"/>
      <c r="Z9561" s="1060"/>
    </row>
    <row r="9562" spans="25:26">
      <c r="Y9562" s="1354"/>
      <c r="Z9562" s="1060"/>
    </row>
    <row r="9563" spans="25:26">
      <c r="Y9563" s="1354"/>
      <c r="Z9563" s="1060"/>
    </row>
    <row r="9564" spans="25:26">
      <c r="Y9564" s="1354"/>
      <c r="Z9564" s="1060"/>
    </row>
    <row r="9565" spans="25:26">
      <c r="Y9565" s="1354"/>
      <c r="Z9565" s="1060"/>
    </row>
    <row r="9566" spans="25:26">
      <c r="Y9566" s="1354"/>
      <c r="Z9566" s="1060"/>
    </row>
    <row r="9567" spans="25:26">
      <c r="Y9567" s="1354"/>
      <c r="Z9567" s="1060"/>
    </row>
    <row r="9568" spans="25:26">
      <c r="Y9568" s="1354"/>
      <c r="Z9568" s="1060"/>
    </row>
    <row r="9569" spans="25:26">
      <c r="Y9569" s="1354"/>
      <c r="Z9569" s="1060"/>
    </row>
    <row r="9570" spans="25:26">
      <c r="Y9570" s="1354"/>
      <c r="Z9570" s="1060"/>
    </row>
    <row r="9571" spans="25:26">
      <c r="Y9571" s="1354"/>
      <c r="Z9571" s="1060"/>
    </row>
    <row r="9572" spans="25:26">
      <c r="Y9572" s="1354"/>
      <c r="Z9572" s="1060"/>
    </row>
    <row r="9573" spans="25:26">
      <c r="Y9573" s="1354"/>
      <c r="Z9573" s="1060"/>
    </row>
    <row r="9574" spans="25:26">
      <c r="Y9574" s="1354"/>
      <c r="Z9574" s="1060"/>
    </row>
    <row r="9575" spans="25:26">
      <c r="Y9575" s="1354"/>
      <c r="Z9575" s="1060"/>
    </row>
    <row r="9576" spans="25:26">
      <c r="Y9576" s="1354"/>
      <c r="Z9576" s="1060"/>
    </row>
    <row r="9577" spans="25:26">
      <c r="Y9577" s="1354"/>
      <c r="Z9577" s="1060"/>
    </row>
    <row r="9578" spans="25:26">
      <c r="Y9578" s="1354"/>
      <c r="Z9578" s="1060"/>
    </row>
    <row r="9579" spans="25:26">
      <c r="Y9579" s="1354"/>
      <c r="Z9579" s="1060"/>
    </row>
    <row r="9580" spans="25:26">
      <c r="Y9580" s="1354"/>
      <c r="Z9580" s="1060"/>
    </row>
    <row r="9581" spans="25:26">
      <c r="Y9581" s="1354"/>
      <c r="Z9581" s="1060"/>
    </row>
    <row r="9582" spans="25:26">
      <c r="Y9582" s="1354"/>
      <c r="Z9582" s="1060"/>
    </row>
    <row r="9583" spans="25:26">
      <c r="Y9583" s="1354"/>
      <c r="Z9583" s="1060"/>
    </row>
    <row r="9584" spans="25:26">
      <c r="Y9584" s="1354"/>
      <c r="Z9584" s="1060"/>
    </row>
    <row r="9585" spans="25:26">
      <c r="Y9585" s="1354"/>
      <c r="Z9585" s="1060"/>
    </row>
    <row r="9586" spans="25:26">
      <c r="Y9586" s="1354"/>
      <c r="Z9586" s="1060"/>
    </row>
    <row r="9587" spans="25:26">
      <c r="Y9587" s="1354"/>
      <c r="Z9587" s="1060"/>
    </row>
    <row r="9588" spans="25:26">
      <c r="Y9588" s="1354"/>
      <c r="Z9588" s="1060"/>
    </row>
    <row r="9589" spans="25:26">
      <c r="Y9589" s="1354"/>
      <c r="Z9589" s="1060"/>
    </row>
    <row r="9590" spans="25:26">
      <c r="Y9590" s="1354"/>
      <c r="Z9590" s="1060"/>
    </row>
    <row r="9591" spans="25:26">
      <c r="Y9591" s="1354"/>
      <c r="Z9591" s="1060"/>
    </row>
    <row r="9592" spans="25:26">
      <c r="Y9592" s="1354"/>
      <c r="Z9592" s="1060"/>
    </row>
    <row r="9593" spans="25:26">
      <c r="Y9593" s="1354"/>
      <c r="Z9593" s="1060"/>
    </row>
    <row r="9594" spans="25:26">
      <c r="Y9594" s="1354"/>
      <c r="Z9594" s="1060"/>
    </row>
    <row r="9595" spans="25:26">
      <c r="Y9595" s="1354"/>
      <c r="Z9595" s="1060"/>
    </row>
    <row r="9596" spans="25:26">
      <c r="Y9596" s="1354"/>
      <c r="Z9596" s="1060"/>
    </row>
    <row r="9597" spans="25:26">
      <c r="Y9597" s="1354"/>
      <c r="Z9597" s="1060"/>
    </row>
    <row r="9598" spans="25:26">
      <c r="Y9598" s="1354"/>
      <c r="Z9598" s="1060"/>
    </row>
    <row r="9599" spans="25:26">
      <c r="Y9599" s="1354"/>
      <c r="Z9599" s="1060"/>
    </row>
    <row r="9600" spans="25:26">
      <c r="Y9600" s="1354"/>
      <c r="Z9600" s="1060"/>
    </row>
    <row r="9601" spans="25:26">
      <c r="Y9601" s="1354"/>
      <c r="Z9601" s="1060"/>
    </row>
    <row r="9602" spans="25:26">
      <c r="Y9602" s="1354"/>
      <c r="Z9602" s="1060"/>
    </row>
    <row r="9603" spans="25:26">
      <c r="Y9603" s="1354"/>
      <c r="Z9603" s="1060"/>
    </row>
    <row r="9604" spans="25:26">
      <c r="Y9604" s="1354"/>
      <c r="Z9604" s="1060"/>
    </row>
    <row r="9605" spans="25:26">
      <c r="Y9605" s="1354"/>
      <c r="Z9605" s="1060"/>
    </row>
    <row r="9606" spans="25:26">
      <c r="Y9606" s="1354"/>
      <c r="Z9606" s="1060"/>
    </row>
    <row r="9607" spans="25:26">
      <c r="Y9607" s="1354"/>
      <c r="Z9607" s="1060"/>
    </row>
    <row r="9608" spans="25:26">
      <c r="Y9608" s="1354"/>
      <c r="Z9608" s="1060"/>
    </row>
    <row r="9609" spans="25:26">
      <c r="Y9609" s="1354"/>
      <c r="Z9609" s="1060"/>
    </row>
    <row r="9610" spans="25:26">
      <c r="Y9610" s="1354"/>
      <c r="Z9610" s="1060"/>
    </row>
    <row r="9611" spans="25:26">
      <c r="Y9611" s="1354"/>
      <c r="Z9611" s="1060"/>
    </row>
    <row r="9612" spans="25:26">
      <c r="Y9612" s="1354"/>
      <c r="Z9612" s="1060"/>
    </row>
    <row r="9613" spans="25:26">
      <c r="Y9613" s="1354"/>
      <c r="Z9613" s="1060"/>
    </row>
    <row r="9614" spans="25:26">
      <c r="Y9614" s="1354"/>
      <c r="Z9614" s="1060"/>
    </row>
    <row r="9615" spans="25:26">
      <c r="Y9615" s="1354"/>
      <c r="Z9615" s="1060"/>
    </row>
    <row r="9616" spans="25:26">
      <c r="Y9616" s="1354"/>
      <c r="Z9616" s="1060"/>
    </row>
    <row r="9617" spans="25:26">
      <c r="Y9617" s="1354"/>
      <c r="Z9617" s="1060"/>
    </row>
    <row r="9618" spans="25:26">
      <c r="Y9618" s="1354"/>
      <c r="Z9618" s="1060"/>
    </row>
    <row r="9619" spans="25:26">
      <c r="Y9619" s="1354"/>
      <c r="Z9619" s="1060"/>
    </row>
    <row r="9620" spans="25:26">
      <c r="Y9620" s="1354"/>
      <c r="Z9620" s="1060"/>
    </row>
    <row r="9621" spans="25:26">
      <c r="Y9621" s="1354"/>
      <c r="Z9621" s="1060"/>
    </row>
    <row r="9622" spans="25:26">
      <c r="Y9622" s="1354"/>
      <c r="Z9622" s="1060"/>
    </row>
    <row r="9623" spans="25:26">
      <c r="Y9623" s="1354"/>
      <c r="Z9623" s="1060"/>
    </row>
    <row r="9624" spans="25:26">
      <c r="Y9624" s="1354"/>
      <c r="Z9624" s="1060"/>
    </row>
    <row r="9625" spans="25:26">
      <c r="Y9625" s="1354"/>
      <c r="Z9625" s="1060"/>
    </row>
    <row r="9626" spans="25:26">
      <c r="Y9626" s="1354"/>
      <c r="Z9626" s="1060"/>
    </row>
    <row r="9627" spans="25:26">
      <c r="Y9627" s="1354"/>
      <c r="Z9627" s="1060"/>
    </row>
    <row r="9628" spans="25:26">
      <c r="Y9628" s="1354"/>
      <c r="Z9628" s="1060"/>
    </row>
    <row r="9629" spans="25:26">
      <c r="Y9629" s="1354"/>
      <c r="Z9629" s="1060"/>
    </row>
    <row r="9630" spans="25:26">
      <c r="Y9630" s="1354"/>
      <c r="Z9630" s="1060"/>
    </row>
    <row r="9631" spans="25:26">
      <c r="Y9631" s="1354"/>
      <c r="Z9631" s="1060"/>
    </row>
    <row r="9632" spans="25:26">
      <c r="Y9632" s="1354"/>
      <c r="Z9632" s="1060"/>
    </row>
    <row r="9633" spans="25:26">
      <c r="Y9633" s="1354"/>
      <c r="Z9633" s="1060"/>
    </row>
    <row r="9634" spans="25:26">
      <c r="Y9634" s="1354"/>
      <c r="Z9634" s="1060"/>
    </row>
    <row r="9635" spans="25:26">
      <c r="Y9635" s="1354"/>
      <c r="Z9635" s="1060"/>
    </row>
    <row r="9636" spans="25:26">
      <c r="Y9636" s="1354"/>
      <c r="Z9636" s="1060"/>
    </row>
    <row r="9637" spans="25:26">
      <c r="Y9637" s="1354"/>
      <c r="Z9637" s="1060"/>
    </row>
    <row r="9638" spans="25:26">
      <c r="Y9638" s="1354"/>
      <c r="Z9638" s="1060"/>
    </row>
    <row r="9639" spans="25:26">
      <c r="Y9639" s="1354"/>
      <c r="Z9639" s="1060"/>
    </row>
    <row r="9640" spans="25:26">
      <c r="Y9640" s="1354"/>
      <c r="Z9640" s="1060"/>
    </row>
    <row r="9641" spans="25:26">
      <c r="Y9641" s="1354"/>
      <c r="Z9641" s="1060"/>
    </row>
    <row r="9642" spans="25:26">
      <c r="Y9642" s="1354"/>
      <c r="Z9642" s="1060"/>
    </row>
    <row r="9643" spans="25:26">
      <c r="Y9643" s="1354"/>
      <c r="Z9643" s="1060"/>
    </row>
    <row r="9644" spans="25:26">
      <c r="Y9644" s="1354"/>
      <c r="Z9644" s="1060"/>
    </row>
    <row r="9645" spans="25:26">
      <c r="Y9645" s="1354"/>
      <c r="Z9645" s="1060"/>
    </row>
    <row r="9646" spans="25:26">
      <c r="Y9646" s="1354"/>
      <c r="Z9646" s="1060"/>
    </row>
    <row r="9647" spans="25:26">
      <c r="Y9647" s="1354"/>
      <c r="Z9647" s="1060"/>
    </row>
    <row r="9648" spans="25:26">
      <c r="Y9648" s="1354"/>
      <c r="Z9648" s="1060"/>
    </row>
    <row r="9649" spans="25:26">
      <c r="Y9649" s="1354"/>
      <c r="Z9649" s="1060"/>
    </row>
    <row r="9650" spans="25:26">
      <c r="Y9650" s="1354"/>
      <c r="Z9650" s="1060"/>
    </row>
    <row r="9651" spans="25:26">
      <c r="Y9651" s="1354"/>
      <c r="Z9651" s="1060"/>
    </row>
    <row r="9652" spans="25:26">
      <c r="Y9652" s="1354"/>
      <c r="Z9652" s="1060"/>
    </row>
    <row r="9653" spans="25:26">
      <c r="Y9653" s="1354"/>
      <c r="Z9653" s="1060"/>
    </row>
    <row r="9654" spans="25:26">
      <c r="Y9654" s="1354"/>
      <c r="Z9654" s="1060"/>
    </row>
    <row r="9655" spans="25:26">
      <c r="Y9655" s="1354"/>
      <c r="Z9655" s="1060"/>
    </row>
    <row r="9656" spans="25:26">
      <c r="Y9656" s="1354"/>
      <c r="Z9656" s="1060"/>
    </row>
    <row r="9657" spans="25:26">
      <c r="Y9657" s="1354"/>
      <c r="Z9657" s="1060"/>
    </row>
    <row r="9658" spans="25:26">
      <c r="Y9658" s="1354"/>
      <c r="Z9658" s="1060"/>
    </row>
    <row r="9659" spans="25:26">
      <c r="Y9659" s="1354"/>
      <c r="Z9659" s="1060"/>
    </row>
    <row r="9660" spans="25:26">
      <c r="Y9660" s="1354"/>
      <c r="Z9660" s="1060"/>
    </row>
    <row r="9661" spans="25:26">
      <c r="Y9661" s="1354"/>
      <c r="Z9661" s="1060"/>
    </row>
    <row r="9662" spans="25:26">
      <c r="Y9662" s="1354"/>
      <c r="Z9662" s="1060"/>
    </row>
    <row r="9663" spans="25:26">
      <c r="Y9663" s="1354"/>
      <c r="Z9663" s="1060"/>
    </row>
    <row r="9664" spans="25:26">
      <c r="Y9664" s="1354"/>
      <c r="Z9664" s="1060"/>
    </row>
    <row r="9665" spans="25:26">
      <c r="Y9665" s="1354"/>
      <c r="Z9665" s="1060"/>
    </row>
    <row r="9666" spans="25:26">
      <c r="Y9666" s="1354"/>
      <c r="Z9666" s="1060"/>
    </row>
    <row r="9667" spans="25:26">
      <c r="Y9667" s="1354"/>
      <c r="Z9667" s="1060"/>
    </row>
    <row r="9668" spans="25:26">
      <c r="Y9668" s="1354"/>
      <c r="Z9668" s="1060"/>
    </row>
    <row r="9669" spans="25:26">
      <c r="Y9669" s="1354"/>
      <c r="Z9669" s="1060"/>
    </row>
    <row r="9670" spans="25:26">
      <c r="Y9670" s="1354"/>
      <c r="Z9670" s="1060"/>
    </row>
    <row r="9671" spans="25:26">
      <c r="Y9671" s="1354"/>
      <c r="Z9671" s="1060"/>
    </row>
    <row r="9672" spans="25:26">
      <c r="Y9672" s="1354"/>
      <c r="Z9672" s="1060"/>
    </row>
    <row r="9673" spans="25:26">
      <c r="Y9673" s="1354"/>
      <c r="Z9673" s="1060"/>
    </row>
    <row r="9674" spans="25:26">
      <c r="Y9674" s="1354"/>
      <c r="Z9674" s="1060"/>
    </row>
    <row r="9675" spans="25:26">
      <c r="Y9675" s="1354"/>
      <c r="Z9675" s="1060"/>
    </row>
    <row r="9676" spans="25:26">
      <c r="Y9676" s="1354"/>
      <c r="Z9676" s="1060"/>
    </row>
    <row r="9677" spans="25:26">
      <c r="Y9677" s="1354"/>
      <c r="Z9677" s="1060"/>
    </row>
    <row r="9678" spans="25:26">
      <c r="Y9678" s="1354"/>
      <c r="Z9678" s="1060"/>
    </row>
    <row r="9679" spans="25:26">
      <c r="Y9679" s="1354"/>
      <c r="Z9679" s="1060"/>
    </row>
    <row r="9680" spans="25:26">
      <c r="Y9680" s="1354"/>
      <c r="Z9680" s="1060"/>
    </row>
    <row r="9681" spans="25:26">
      <c r="Y9681" s="1354"/>
      <c r="Z9681" s="1060"/>
    </row>
    <row r="9682" spans="25:26">
      <c r="Y9682" s="1354"/>
      <c r="Z9682" s="1060"/>
    </row>
    <row r="9683" spans="25:26">
      <c r="Y9683" s="1354"/>
      <c r="Z9683" s="1060"/>
    </row>
    <row r="9684" spans="25:26">
      <c r="Y9684" s="1354"/>
      <c r="Z9684" s="1060"/>
    </row>
    <row r="9685" spans="25:26">
      <c r="Y9685" s="1354"/>
      <c r="Z9685" s="1060"/>
    </row>
    <row r="9686" spans="25:26">
      <c r="Y9686" s="1354"/>
      <c r="Z9686" s="1060"/>
    </row>
    <row r="9687" spans="25:26">
      <c r="Y9687" s="1354"/>
      <c r="Z9687" s="1060"/>
    </row>
    <row r="9688" spans="25:26">
      <c r="Y9688" s="1354"/>
      <c r="Z9688" s="1060"/>
    </row>
    <row r="9689" spans="25:26">
      <c r="Y9689" s="1354"/>
      <c r="Z9689" s="1060"/>
    </row>
    <row r="9690" spans="25:26">
      <c r="Y9690" s="1354"/>
      <c r="Z9690" s="1060"/>
    </row>
    <row r="9691" spans="25:26">
      <c r="Y9691" s="1354"/>
      <c r="Z9691" s="1060"/>
    </row>
    <row r="9692" spans="25:26">
      <c r="Y9692" s="1354"/>
      <c r="Z9692" s="1060"/>
    </row>
    <row r="9693" spans="25:26">
      <c r="Y9693" s="1354"/>
      <c r="Z9693" s="1060"/>
    </row>
    <row r="9694" spans="25:26">
      <c r="Y9694" s="1354"/>
      <c r="Z9694" s="1060"/>
    </row>
    <row r="9695" spans="25:26">
      <c r="Y9695" s="1354"/>
      <c r="Z9695" s="1060"/>
    </row>
    <row r="9696" spans="25:26">
      <c r="Y9696" s="1354"/>
      <c r="Z9696" s="1060"/>
    </row>
    <row r="9697" spans="25:26">
      <c r="Y9697" s="1354"/>
      <c r="Z9697" s="1060"/>
    </row>
    <row r="9698" spans="25:26">
      <c r="Y9698" s="1354"/>
      <c r="Z9698" s="1060"/>
    </row>
    <row r="9699" spans="25:26">
      <c r="Y9699" s="1354"/>
      <c r="Z9699" s="1060"/>
    </row>
    <row r="9700" spans="25:26">
      <c r="Y9700" s="1354"/>
      <c r="Z9700" s="1060"/>
    </row>
    <row r="9701" spans="25:26">
      <c r="Y9701" s="1354"/>
      <c r="Z9701" s="1060"/>
    </row>
    <row r="9702" spans="25:26">
      <c r="Y9702" s="1354"/>
      <c r="Z9702" s="1060"/>
    </row>
    <row r="9703" spans="25:26">
      <c r="Y9703" s="1354"/>
      <c r="Z9703" s="1060"/>
    </row>
    <row r="9704" spans="25:26">
      <c r="Y9704" s="1354"/>
      <c r="Z9704" s="1060"/>
    </row>
    <row r="9705" spans="25:26">
      <c r="Y9705" s="1354"/>
      <c r="Z9705" s="1060"/>
    </row>
    <row r="9706" spans="25:26">
      <c r="Y9706" s="1354"/>
      <c r="Z9706" s="1060"/>
    </row>
    <row r="9707" spans="25:26">
      <c r="Y9707" s="1354"/>
      <c r="Z9707" s="1060"/>
    </row>
    <row r="9708" spans="25:26">
      <c r="Y9708" s="1354"/>
      <c r="Z9708" s="1060"/>
    </row>
    <row r="9709" spans="25:26">
      <c r="Y9709" s="1354"/>
      <c r="Z9709" s="1060"/>
    </row>
    <row r="9710" spans="25:26">
      <c r="Y9710" s="1354"/>
      <c r="Z9710" s="1060"/>
    </row>
    <row r="9711" spans="25:26">
      <c r="Y9711" s="1354"/>
      <c r="Z9711" s="1060"/>
    </row>
    <row r="9712" spans="25:26">
      <c r="Y9712" s="1354"/>
      <c r="Z9712" s="1060"/>
    </row>
    <row r="9713" spans="25:26">
      <c r="Y9713" s="1354"/>
      <c r="Z9713" s="1060"/>
    </row>
    <row r="9714" spans="25:26">
      <c r="Y9714" s="1354"/>
      <c r="Z9714" s="1060"/>
    </row>
    <row r="9715" spans="25:26">
      <c r="Y9715" s="1354"/>
      <c r="Z9715" s="1060"/>
    </row>
    <row r="9716" spans="25:26">
      <c r="Y9716" s="1354"/>
      <c r="Z9716" s="1060"/>
    </row>
    <row r="9717" spans="25:26">
      <c r="Y9717" s="1354"/>
      <c r="Z9717" s="1060"/>
    </row>
    <row r="9718" spans="25:26">
      <c r="Y9718" s="1354"/>
      <c r="Z9718" s="1060"/>
    </row>
    <row r="9719" spans="25:26">
      <c r="Y9719" s="1354"/>
      <c r="Z9719" s="1060"/>
    </row>
    <row r="9720" spans="25:26">
      <c r="Y9720" s="1354"/>
      <c r="Z9720" s="1060"/>
    </row>
    <row r="9721" spans="25:26">
      <c r="Y9721" s="1354"/>
      <c r="Z9721" s="1060"/>
    </row>
    <row r="9722" spans="25:26">
      <c r="Y9722" s="1354"/>
      <c r="Z9722" s="1060"/>
    </row>
    <row r="9723" spans="25:26">
      <c r="Y9723" s="1354"/>
      <c r="Z9723" s="1060"/>
    </row>
    <row r="9724" spans="25:26">
      <c r="Y9724" s="1354"/>
      <c r="Z9724" s="1060"/>
    </row>
    <row r="9725" spans="25:26">
      <c r="Y9725" s="1354"/>
      <c r="Z9725" s="1060"/>
    </row>
    <row r="9726" spans="25:26">
      <c r="Y9726" s="1354"/>
      <c r="Z9726" s="1060"/>
    </row>
    <row r="9727" spans="25:26">
      <c r="Y9727" s="1354"/>
      <c r="Z9727" s="1060"/>
    </row>
    <row r="9728" spans="25:26">
      <c r="Y9728" s="1354"/>
      <c r="Z9728" s="1060"/>
    </row>
    <row r="9729" spans="25:26">
      <c r="Y9729" s="1354"/>
      <c r="Z9729" s="1060"/>
    </row>
    <row r="9730" spans="25:26">
      <c r="Y9730" s="1354"/>
      <c r="Z9730" s="1060"/>
    </row>
    <row r="9731" spans="25:26">
      <c r="Y9731" s="1354"/>
      <c r="Z9731" s="1060"/>
    </row>
    <row r="9732" spans="25:26">
      <c r="Y9732" s="1354"/>
      <c r="Z9732" s="1060"/>
    </row>
    <row r="9733" spans="25:26">
      <c r="Y9733" s="1354"/>
      <c r="Z9733" s="1060"/>
    </row>
    <row r="9734" spans="25:26">
      <c r="Y9734" s="1354"/>
      <c r="Z9734" s="1060"/>
    </row>
    <row r="9735" spans="25:26">
      <c r="Y9735" s="1354"/>
      <c r="Z9735" s="1060"/>
    </row>
    <row r="9736" spans="25:26">
      <c r="Y9736" s="1354"/>
      <c r="Z9736" s="1060"/>
    </row>
    <row r="9737" spans="25:26">
      <c r="Y9737" s="1354"/>
      <c r="Z9737" s="1060"/>
    </row>
    <row r="9738" spans="25:26">
      <c r="Y9738" s="1354"/>
      <c r="Z9738" s="1060"/>
    </row>
    <row r="9739" spans="25:26">
      <c r="Y9739" s="1354"/>
      <c r="Z9739" s="1060"/>
    </row>
    <row r="9740" spans="25:26">
      <c r="Y9740" s="1354"/>
      <c r="Z9740" s="1060"/>
    </row>
    <row r="9741" spans="25:26">
      <c r="Y9741" s="1354"/>
      <c r="Z9741" s="1060"/>
    </row>
    <row r="9742" spans="25:26">
      <c r="Y9742" s="1354"/>
      <c r="Z9742" s="1060"/>
    </row>
    <row r="9743" spans="25:26">
      <c r="Y9743" s="1354"/>
      <c r="Z9743" s="1060"/>
    </row>
    <row r="9744" spans="25:26">
      <c r="Y9744" s="1354"/>
      <c r="Z9744" s="1060"/>
    </row>
    <row r="9745" spans="25:26">
      <c r="Y9745" s="1354"/>
      <c r="Z9745" s="1060"/>
    </row>
    <row r="9746" spans="25:26">
      <c r="Y9746" s="1354"/>
      <c r="Z9746" s="1060"/>
    </row>
    <row r="9747" spans="25:26">
      <c r="Y9747" s="1354"/>
      <c r="Z9747" s="1060"/>
    </row>
    <row r="9748" spans="25:26">
      <c r="Y9748" s="1354"/>
      <c r="Z9748" s="1060"/>
    </row>
    <row r="9749" spans="25:26">
      <c r="Y9749" s="1354"/>
      <c r="Z9749" s="1060"/>
    </row>
    <row r="9750" spans="25:26">
      <c r="Y9750" s="1354"/>
      <c r="Z9750" s="1060"/>
    </row>
    <row r="9751" spans="25:26">
      <c r="Y9751" s="1354"/>
      <c r="Z9751" s="1060"/>
    </row>
    <row r="9752" spans="25:26">
      <c r="Y9752" s="1354"/>
      <c r="Z9752" s="1060"/>
    </row>
    <row r="9753" spans="25:26">
      <c r="Y9753" s="1354"/>
      <c r="Z9753" s="1060"/>
    </row>
    <row r="9754" spans="25:26">
      <c r="Y9754" s="1354"/>
      <c r="Z9754" s="1060"/>
    </row>
    <row r="9755" spans="25:26">
      <c r="Y9755" s="1354"/>
      <c r="Z9755" s="1060"/>
    </row>
    <row r="9756" spans="25:26">
      <c r="Y9756" s="1354"/>
      <c r="Z9756" s="1060"/>
    </row>
    <row r="9757" spans="25:26">
      <c r="Y9757" s="1354"/>
      <c r="Z9757" s="1060"/>
    </row>
    <row r="9758" spans="25:26">
      <c r="Y9758" s="1354"/>
      <c r="Z9758" s="1060"/>
    </row>
    <row r="9759" spans="25:26">
      <c r="Y9759" s="1354"/>
      <c r="Z9759" s="1060"/>
    </row>
    <row r="9760" spans="25:26">
      <c r="Y9760" s="1354"/>
      <c r="Z9760" s="1060"/>
    </row>
    <row r="9761" spans="25:26">
      <c r="Y9761" s="1354"/>
      <c r="Z9761" s="1060"/>
    </row>
    <row r="9762" spans="25:26">
      <c r="Y9762" s="1354"/>
      <c r="Z9762" s="1060"/>
    </row>
    <row r="9763" spans="25:26">
      <c r="Y9763" s="1354"/>
      <c r="Z9763" s="1060"/>
    </row>
    <row r="9764" spans="25:26">
      <c r="Y9764" s="1354"/>
      <c r="Z9764" s="1060"/>
    </row>
    <row r="9765" spans="25:26">
      <c r="Y9765" s="1354"/>
      <c r="Z9765" s="1060"/>
    </row>
    <row r="9766" spans="25:26">
      <c r="Y9766" s="1354"/>
      <c r="Z9766" s="1060"/>
    </row>
    <row r="9767" spans="25:26">
      <c r="Y9767" s="1354"/>
      <c r="Z9767" s="1060"/>
    </row>
    <row r="9768" spans="25:26">
      <c r="Y9768" s="1354"/>
      <c r="Z9768" s="1060"/>
    </row>
    <row r="9769" spans="25:26">
      <c r="Y9769" s="1354"/>
      <c r="Z9769" s="1060"/>
    </row>
    <row r="9770" spans="25:26">
      <c r="Y9770" s="1354"/>
      <c r="Z9770" s="1060"/>
    </row>
    <row r="9771" spans="25:26">
      <c r="Y9771" s="1354"/>
      <c r="Z9771" s="1060"/>
    </row>
    <row r="9772" spans="25:26">
      <c r="Y9772" s="1354"/>
      <c r="Z9772" s="1060"/>
    </row>
    <row r="9773" spans="25:26">
      <c r="Y9773" s="1354"/>
      <c r="Z9773" s="1060"/>
    </row>
    <row r="9774" spans="25:26">
      <c r="Y9774" s="1354"/>
      <c r="Z9774" s="1060"/>
    </row>
    <row r="9775" spans="25:26">
      <c r="Y9775" s="1354"/>
      <c r="Z9775" s="1060"/>
    </row>
    <row r="9776" spans="25:26">
      <c r="Y9776" s="1354"/>
      <c r="Z9776" s="1060"/>
    </row>
    <row r="9777" spans="25:26">
      <c r="Y9777" s="1354"/>
      <c r="Z9777" s="1060"/>
    </row>
    <row r="9778" spans="25:26">
      <c r="Y9778" s="1354"/>
      <c r="Z9778" s="1060"/>
    </row>
    <row r="9779" spans="25:26">
      <c r="Y9779" s="1354"/>
      <c r="Z9779" s="1060"/>
    </row>
    <row r="9780" spans="25:26">
      <c r="Y9780" s="1354"/>
      <c r="Z9780" s="1060"/>
    </row>
    <row r="9781" spans="25:26">
      <c r="Y9781" s="1354"/>
      <c r="Z9781" s="1060"/>
    </row>
    <row r="9782" spans="25:26">
      <c r="Y9782" s="1354"/>
      <c r="Z9782" s="1060"/>
    </row>
    <row r="9783" spans="25:26">
      <c r="Y9783" s="1354"/>
      <c r="Z9783" s="1060"/>
    </row>
    <row r="9784" spans="25:26">
      <c r="Y9784" s="1354"/>
      <c r="Z9784" s="1060"/>
    </row>
    <row r="9785" spans="25:26">
      <c r="Y9785" s="1354"/>
      <c r="Z9785" s="1060"/>
    </row>
    <row r="9786" spans="25:26">
      <c r="Y9786" s="1354"/>
      <c r="Z9786" s="1060"/>
    </row>
    <row r="9787" spans="25:26">
      <c r="Y9787" s="1354"/>
      <c r="Z9787" s="1060"/>
    </row>
    <row r="9788" spans="25:26">
      <c r="Y9788" s="1354"/>
      <c r="Z9788" s="1060"/>
    </row>
    <row r="9789" spans="25:26">
      <c r="Y9789" s="1354"/>
      <c r="Z9789" s="1060"/>
    </row>
    <row r="9790" spans="25:26">
      <c r="Y9790" s="1354"/>
      <c r="Z9790" s="1060"/>
    </row>
    <row r="9791" spans="25:26">
      <c r="Y9791" s="1354"/>
      <c r="Z9791" s="1060"/>
    </row>
    <row r="9792" spans="25:26">
      <c r="Y9792" s="1354"/>
      <c r="Z9792" s="1060"/>
    </row>
    <row r="9793" spans="25:26">
      <c r="Y9793" s="1354"/>
      <c r="Z9793" s="1060"/>
    </row>
    <row r="9794" spans="25:26">
      <c r="Y9794" s="1354"/>
      <c r="Z9794" s="1060"/>
    </row>
    <row r="9795" spans="25:26">
      <c r="Y9795" s="1354"/>
      <c r="Z9795" s="1060"/>
    </row>
    <row r="9796" spans="25:26">
      <c r="Y9796" s="1354"/>
      <c r="Z9796" s="1060"/>
    </row>
    <row r="9797" spans="25:26">
      <c r="Y9797" s="1354"/>
      <c r="Z9797" s="1060"/>
    </row>
    <row r="9798" spans="25:26">
      <c r="Y9798" s="1354"/>
      <c r="Z9798" s="1060"/>
    </row>
    <row r="9799" spans="25:26">
      <c r="Y9799" s="1354"/>
      <c r="Z9799" s="1060"/>
    </row>
    <row r="9800" spans="25:26">
      <c r="Y9800" s="1354"/>
      <c r="Z9800" s="1060"/>
    </row>
    <row r="9801" spans="25:26">
      <c r="Y9801" s="1354"/>
      <c r="Z9801" s="1060"/>
    </row>
    <row r="9802" spans="25:26">
      <c r="Y9802" s="1354"/>
      <c r="Z9802" s="1060"/>
    </row>
    <row r="9803" spans="25:26">
      <c r="Y9803" s="1354"/>
      <c r="Z9803" s="1060"/>
    </row>
    <row r="9804" spans="25:26">
      <c r="Y9804" s="1354"/>
      <c r="Z9804" s="1060"/>
    </row>
    <row r="9805" spans="25:26">
      <c r="Y9805" s="1354"/>
      <c r="Z9805" s="1060"/>
    </row>
    <row r="9806" spans="25:26">
      <c r="Y9806" s="1354"/>
      <c r="Z9806" s="1060"/>
    </row>
    <row r="9807" spans="25:26">
      <c r="Y9807" s="1354"/>
      <c r="Z9807" s="1060"/>
    </row>
    <row r="9808" spans="25:26">
      <c r="Y9808" s="1354"/>
      <c r="Z9808" s="1060"/>
    </row>
    <row r="9809" spans="25:26">
      <c r="Y9809" s="1354"/>
      <c r="Z9809" s="1060"/>
    </row>
    <row r="9810" spans="25:26">
      <c r="Y9810" s="1354"/>
      <c r="Z9810" s="1060"/>
    </row>
    <row r="9811" spans="25:26">
      <c r="Y9811" s="1354"/>
      <c r="Z9811" s="1060"/>
    </row>
    <row r="9812" spans="25:26">
      <c r="Y9812" s="1354"/>
      <c r="Z9812" s="1060"/>
    </row>
    <row r="9813" spans="25:26">
      <c r="Y9813" s="1354"/>
      <c r="Z9813" s="1060"/>
    </row>
    <row r="9814" spans="25:26">
      <c r="Y9814" s="1354"/>
      <c r="Z9814" s="1060"/>
    </row>
    <row r="9815" spans="25:26">
      <c r="Y9815" s="1354"/>
      <c r="Z9815" s="1060"/>
    </row>
    <row r="9816" spans="25:26">
      <c r="Y9816" s="1354"/>
      <c r="Z9816" s="1060"/>
    </row>
    <row r="9817" spans="25:26">
      <c r="Y9817" s="1354"/>
      <c r="Z9817" s="1060"/>
    </row>
    <row r="9818" spans="25:26">
      <c r="Y9818" s="1354"/>
      <c r="Z9818" s="1060"/>
    </row>
    <row r="9819" spans="25:26">
      <c r="Y9819" s="1354"/>
      <c r="Z9819" s="1060"/>
    </row>
    <row r="9820" spans="25:26">
      <c r="Y9820" s="1354"/>
      <c r="Z9820" s="1060"/>
    </row>
    <row r="9821" spans="25:26">
      <c r="Y9821" s="1354"/>
      <c r="Z9821" s="1060"/>
    </row>
    <row r="9822" spans="25:26">
      <c r="Y9822" s="1354"/>
      <c r="Z9822" s="1060"/>
    </row>
    <row r="9823" spans="25:26">
      <c r="Y9823" s="1354"/>
      <c r="Z9823" s="1060"/>
    </row>
    <row r="9824" spans="25:26">
      <c r="Y9824" s="1354"/>
      <c r="Z9824" s="1060"/>
    </row>
    <row r="9825" spans="25:26">
      <c r="Y9825" s="1354"/>
      <c r="Z9825" s="1060"/>
    </row>
    <row r="9826" spans="25:26">
      <c r="Y9826" s="1354"/>
      <c r="Z9826" s="1060"/>
    </row>
    <row r="9827" spans="25:26">
      <c r="Y9827" s="1354"/>
      <c r="Z9827" s="1060"/>
    </row>
    <row r="9828" spans="25:26">
      <c r="Y9828" s="1354"/>
      <c r="Z9828" s="1060"/>
    </row>
    <row r="9829" spans="25:26">
      <c r="Y9829" s="1354"/>
      <c r="Z9829" s="1060"/>
    </row>
    <row r="9830" spans="25:26">
      <c r="Y9830" s="1354"/>
      <c r="Z9830" s="1060"/>
    </row>
    <row r="9831" spans="25:26">
      <c r="Y9831" s="1354"/>
      <c r="Z9831" s="1060"/>
    </row>
    <row r="9832" spans="25:26">
      <c r="Y9832" s="1354"/>
      <c r="Z9832" s="1060"/>
    </row>
    <row r="9833" spans="25:26">
      <c r="Y9833" s="1354"/>
      <c r="Z9833" s="1060"/>
    </row>
    <row r="9834" spans="25:26">
      <c r="Y9834" s="1354"/>
      <c r="Z9834" s="1060"/>
    </row>
    <row r="9835" spans="25:26">
      <c r="Y9835" s="1354"/>
      <c r="Z9835" s="1060"/>
    </row>
    <row r="9836" spans="25:26">
      <c r="Y9836" s="1354"/>
      <c r="Z9836" s="1060"/>
    </row>
    <row r="9837" spans="25:26">
      <c r="Y9837" s="1354"/>
      <c r="Z9837" s="1060"/>
    </row>
    <row r="9838" spans="25:26">
      <c r="Y9838" s="1354"/>
      <c r="Z9838" s="1060"/>
    </row>
    <row r="9839" spans="25:26">
      <c r="Y9839" s="1354"/>
      <c r="Z9839" s="1060"/>
    </row>
    <row r="9840" spans="25:26">
      <c r="Y9840" s="1354"/>
      <c r="Z9840" s="1060"/>
    </row>
    <row r="9841" spans="25:26">
      <c r="Y9841" s="1354"/>
      <c r="Z9841" s="1060"/>
    </row>
    <row r="9842" spans="25:26">
      <c r="Y9842" s="1354"/>
      <c r="Z9842" s="1060"/>
    </row>
    <row r="9843" spans="25:26">
      <c r="Y9843" s="1354"/>
      <c r="Z9843" s="1060"/>
    </row>
    <row r="9844" spans="25:26">
      <c r="Y9844" s="1354"/>
      <c r="Z9844" s="1060"/>
    </row>
    <row r="9845" spans="25:26">
      <c r="Y9845" s="1354"/>
      <c r="Z9845" s="1060"/>
    </row>
    <row r="9846" spans="25:26">
      <c r="Y9846" s="1354"/>
      <c r="Z9846" s="1060"/>
    </row>
    <row r="9847" spans="25:26">
      <c r="Y9847" s="1354"/>
      <c r="Z9847" s="1060"/>
    </row>
    <row r="9848" spans="25:26">
      <c r="Y9848" s="1354"/>
      <c r="Z9848" s="1060"/>
    </row>
    <row r="9849" spans="25:26">
      <c r="Y9849" s="1354"/>
      <c r="Z9849" s="1060"/>
    </row>
    <row r="9850" spans="25:26">
      <c r="Y9850" s="1354"/>
      <c r="Z9850" s="1060"/>
    </row>
    <row r="9851" spans="25:26">
      <c r="Y9851" s="1354"/>
      <c r="Z9851" s="1060"/>
    </row>
    <row r="9852" spans="25:26">
      <c r="Y9852" s="1354"/>
      <c r="Z9852" s="1060"/>
    </row>
    <row r="9853" spans="25:26">
      <c r="Y9853" s="1354"/>
      <c r="Z9853" s="1060"/>
    </row>
    <row r="9854" spans="25:26">
      <c r="Y9854" s="1354"/>
      <c r="Z9854" s="1060"/>
    </row>
    <row r="9855" spans="25:26">
      <c r="Y9855" s="1354"/>
      <c r="Z9855" s="1060"/>
    </row>
    <row r="9856" spans="25:26">
      <c r="Y9856" s="1354"/>
      <c r="Z9856" s="1060"/>
    </row>
    <row r="9857" spans="25:26">
      <c r="Y9857" s="1354"/>
      <c r="Z9857" s="1060"/>
    </row>
    <row r="9858" spans="25:26">
      <c r="Y9858" s="1354"/>
      <c r="Z9858" s="1060"/>
    </row>
    <row r="9859" spans="25:26">
      <c r="Y9859" s="1354"/>
      <c r="Z9859" s="1060"/>
    </row>
    <row r="9860" spans="25:26">
      <c r="Y9860" s="1354"/>
      <c r="Z9860" s="1060"/>
    </row>
    <row r="9861" spans="25:26">
      <c r="Y9861" s="1354"/>
      <c r="Z9861" s="1060"/>
    </row>
    <row r="9862" spans="25:26">
      <c r="Y9862" s="1354"/>
      <c r="Z9862" s="1060"/>
    </row>
    <row r="9863" spans="25:26">
      <c r="Y9863" s="1354"/>
      <c r="Z9863" s="1060"/>
    </row>
    <row r="9864" spans="25:26">
      <c r="Y9864" s="1354"/>
      <c r="Z9864" s="1060"/>
    </row>
    <row r="9865" spans="25:26">
      <c r="Y9865" s="1354"/>
      <c r="Z9865" s="1060"/>
    </row>
    <row r="9866" spans="25:26">
      <c r="Y9866" s="1354"/>
      <c r="Z9866" s="1060"/>
    </row>
    <row r="9867" spans="25:26">
      <c r="Y9867" s="1354"/>
      <c r="Z9867" s="1060"/>
    </row>
    <row r="9868" spans="25:26">
      <c r="Y9868" s="1354"/>
      <c r="Z9868" s="1060"/>
    </row>
    <row r="9869" spans="25:26">
      <c r="Y9869" s="1354"/>
      <c r="Z9869" s="1060"/>
    </row>
    <row r="9870" spans="25:26">
      <c r="Y9870" s="1354"/>
      <c r="Z9870" s="1060"/>
    </row>
    <row r="9871" spans="25:26">
      <c r="Y9871" s="1354"/>
      <c r="Z9871" s="1060"/>
    </row>
    <row r="9872" spans="25:26">
      <c r="Y9872" s="1354"/>
      <c r="Z9872" s="1060"/>
    </row>
    <row r="9873" spans="25:26">
      <c r="Y9873" s="1354"/>
      <c r="Z9873" s="1060"/>
    </row>
    <row r="9874" spans="25:26">
      <c r="Y9874" s="1354"/>
      <c r="Z9874" s="1060"/>
    </row>
    <row r="9875" spans="25:26">
      <c r="Y9875" s="1354"/>
      <c r="Z9875" s="1060"/>
    </row>
    <row r="9876" spans="25:26">
      <c r="Y9876" s="1354"/>
      <c r="Z9876" s="1060"/>
    </row>
    <row r="9877" spans="25:26">
      <c r="Y9877" s="1354"/>
      <c r="Z9877" s="1060"/>
    </row>
    <row r="9878" spans="25:26">
      <c r="Y9878" s="1354"/>
      <c r="Z9878" s="1060"/>
    </row>
    <row r="9879" spans="25:26">
      <c r="Y9879" s="1354"/>
      <c r="Z9879" s="1060"/>
    </row>
    <row r="9880" spans="25:26">
      <c r="Y9880" s="1354"/>
      <c r="Z9880" s="1060"/>
    </row>
    <row r="9881" spans="25:26">
      <c r="Y9881" s="1354"/>
      <c r="Z9881" s="1060"/>
    </row>
    <row r="9882" spans="25:26">
      <c r="Y9882" s="1354"/>
      <c r="Z9882" s="1060"/>
    </row>
    <row r="9883" spans="25:26">
      <c r="Y9883" s="1354"/>
      <c r="Z9883" s="1060"/>
    </row>
    <row r="9884" spans="25:26">
      <c r="Y9884" s="1354"/>
      <c r="Z9884" s="1060"/>
    </row>
    <row r="9885" spans="25:26">
      <c r="Y9885" s="1354"/>
      <c r="Z9885" s="1060"/>
    </row>
    <row r="9886" spans="25:26">
      <c r="Y9886" s="1354"/>
      <c r="Z9886" s="1060"/>
    </row>
    <row r="9887" spans="25:26">
      <c r="Y9887" s="1354"/>
      <c r="Z9887" s="1060"/>
    </row>
    <row r="9888" spans="25:26">
      <c r="Y9888" s="1354"/>
      <c r="Z9888" s="1060"/>
    </row>
    <row r="9889" spans="25:26">
      <c r="Y9889" s="1354"/>
      <c r="Z9889" s="1060"/>
    </row>
    <row r="9890" spans="25:26">
      <c r="Y9890" s="1354"/>
      <c r="Z9890" s="1060"/>
    </row>
    <row r="9891" spans="25:26">
      <c r="Y9891" s="1354"/>
      <c r="Z9891" s="1060"/>
    </row>
    <row r="9892" spans="25:26">
      <c r="Y9892" s="1354"/>
      <c r="Z9892" s="1060"/>
    </row>
    <row r="9893" spans="25:26">
      <c r="Y9893" s="1354"/>
      <c r="Z9893" s="1060"/>
    </row>
    <row r="9894" spans="25:26">
      <c r="Y9894" s="1354"/>
      <c r="Z9894" s="1060"/>
    </row>
    <row r="9895" spans="25:26">
      <c r="Y9895" s="1354"/>
      <c r="Z9895" s="1060"/>
    </row>
    <row r="9896" spans="25:26">
      <c r="Y9896" s="1354"/>
      <c r="Z9896" s="1060"/>
    </row>
    <row r="9897" spans="25:26">
      <c r="Y9897" s="1354"/>
      <c r="Z9897" s="1060"/>
    </row>
    <row r="9898" spans="25:26">
      <c r="Y9898" s="1354"/>
      <c r="Z9898" s="1060"/>
    </row>
    <row r="9899" spans="25:26">
      <c r="Y9899" s="1354"/>
      <c r="Z9899" s="1060"/>
    </row>
    <row r="9900" spans="25:26">
      <c r="Y9900" s="1354"/>
      <c r="Z9900" s="1060"/>
    </row>
    <row r="9901" spans="25:26">
      <c r="Y9901" s="1354"/>
      <c r="Z9901" s="1060"/>
    </row>
    <row r="9902" spans="25:26">
      <c r="Y9902" s="1354"/>
      <c r="Z9902" s="1060"/>
    </row>
    <row r="9903" spans="25:26">
      <c r="Y9903" s="1354"/>
      <c r="Z9903" s="1060"/>
    </row>
    <row r="9904" spans="25:26">
      <c r="Y9904" s="1354"/>
      <c r="Z9904" s="1060"/>
    </row>
    <row r="9905" spans="25:26">
      <c r="Y9905" s="1354"/>
      <c r="Z9905" s="1060"/>
    </row>
    <row r="9906" spans="25:26">
      <c r="Y9906" s="1354"/>
      <c r="Z9906" s="1060"/>
    </row>
    <row r="9907" spans="25:26">
      <c r="Y9907" s="1354"/>
      <c r="Z9907" s="1060"/>
    </row>
    <row r="9908" spans="25:26">
      <c r="Y9908" s="1354"/>
      <c r="Z9908" s="1060"/>
    </row>
    <row r="9909" spans="25:26">
      <c r="Y9909" s="1354"/>
      <c r="Z9909" s="1060"/>
    </row>
    <row r="9910" spans="25:26">
      <c r="Y9910" s="1354"/>
      <c r="Z9910" s="1060"/>
    </row>
    <row r="9911" spans="25:26">
      <c r="Y9911" s="1354"/>
      <c r="Z9911" s="1060"/>
    </row>
    <row r="9912" spans="25:26">
      <c r="Y9912" s="1354"/>
      <c r="Z9912" s="1060"/>
    </row>
    <row r="9913" spans="25:26">
      <c r="Y9913" s="1354"/>
      <c r="Z9913" s="1060"/>
    </row>
    <row r="9914" spans="25:26">
      <c r="Y9914" s="1354"/>
      <c r="Z9914" s="1060"/>
    </row>
    <row r="9915" spans="25:26">
      <c r="Y9915" s="1354"/>
      <c r="Z9915" s="1060"/>
    </row>
    <row r="9916" spans="25:26">
      <c r="Y9916" s="1354"/>
      <c r="Z9916" s="1060"/>
    </row>
    <row r="9917" spans="25:26">
      <c r="Y9917" s="1354"/>
      <c r="Z9917" s="1060"/>
    </row>
    <row r="9918" spans="25:26">
      <c r="Y9918" s="1354"/>
      <c r="Z9918" s="1060"/>
    </row>
    <row r="9919" spans="25:26">
      <c r="Y9919" s="1354"/>
      <c r="Z9919" s="1060"/>
    </row>
    <row r="9920" spans="25:26">
      <c r="Y9920" s="1354"/>
      <c r="Z9920" s="1060"/>
    </row>
    <row r="9921" spans="25:26">
      <c r="Y9921" s="1354"/>
      <c r="Z9921" s="1060"/>
    </row>
    <row r="9922" spans="25:26">
      <c r="Y9922" s="1354"/>
      <c r="Z9922" s="1060"/>
    </row>
    <row r="9923" spans="25:26">
      <c r="Y9923" s="1354"/>
      <c r="Z9923" s="1060"/>
    </row>
    <row r="9924" spans="25:26">
      <c r="Y9924" s="1354"/>
      <c r="Z9924" s="1060"/>
    </row>
    <row r="9925" spans="25:26">
      <c r="Y9925" s="1354"/>
      <c r="Z9925" s="1060"/>
    </row>
    <row r="9926" spans="25:26">
      <c r="Y9926" s="1354"/>
      <c r="Z9926" s="1060"/>
    </row>
    <row r="9927" spans="25:26">
      <c r="Y9927" s="1354"/>
      <c r="Z9927" s="1060"/>
    </row>
    <row r="9928" spans="25:26">
      <c r="Y9928" s="1354"/>
      <c r="Z9928" s="1060"/>
    </row>
    <row r="9929" spans="25:26">
      <c r="Y9929" s="1354"/>
      <c r="Z9929" s="1060"/>
    </row>
    <row r="9930" spans="25:26">
      <c r="Y9930" s="1354"/>
      <c r="Z9930" s="1060"/>
    </row>
    <row r="9931" spans="25:26">
      <c r="Y9931" s="1354"/>
      <c r="Z9931" s="1060"/>
    </row>
    <row r="9932" spans="25:26">
      <c r="Y9932" s="1354"/>
      <c r="Z9932" s="1060"/>
    </row>
    <row r="9933" spans="25:26">
      <c r="Y9933" s="1354"/>
      <c r="Z9933" s="1060"/>
    </row>
    <row r="9934" spans="25:26">
      <c r="Y9934" s="1354"/>
      <c r="Z9934" s="1060"/>
    </row>
    <row r="9935" spans="25:26">
      <c r="Y9935" s="1354"/>
      <c r="Z9935" s="1060"/>
    </row>
    <row r="9936" spans="25:26">
      <c r="Y9936" s="1354"/>
      <c r="Z9936" s="1060"/>
    </row>
    <row r="9937" spans="25:26">
      <c r="Y9937" s="1354"/>
      <c r="Z9937" s="1060"/>
    </row>
    <row r="9938" spans="25:26">
      <c r="Y9938" s="1354"/>
      <c r="Z9938" s="1060"/>
    </row>
    <row r="9939" spans="25:26">
      <c r="Y9939" s="1354"/>
      <c r="Z9939" s="1060"/>
    </row>
    <row r="9940" spans="25:26">
      <c r="Y9940" s="1354"/>
      <c r="Z9940" s="1060"/>
    </row>
    <row r="9941" spans="25:26">
      <c r="Y9941" s="1354"/>
      <c r="Z9941" s="1060"/>
    </row>
    <row r="9942" spans="25:26">
      <c r="Y9942" s="1354"/>
      <c r="Z9942" s="1060"/>
    </row>
    <row r="9943" spans="25:26">
      <c r="Y9943" s="1354"/>
      <c r="Z9943" s="1060"/>
    </row>
    <row r="9944" spans="25:26">
      <c r="Y9944" s="1354"/>
      <c r="Z9944" s="1060"/>
    </row>
    <row r="9945" spans="25:26">
      <c r="Y9945" s="1354"/>
      <c r="Z9945" s="1060"/>
    </row>
    <row r="9946" spans="25:26">
      <c r="Y9946" s="1354"/>
      <c r="Z9946" s="1060"/>
    </row>
    <row r="9947" spans="25:26">
      <c r="Y9947" s="1354"/>
      <c r="Z9947" s="1060"/>
    </row>
    <row r="9948" spans="25:26">
      <c r="Y9948" s="1354"/>
      <c r="Z9948" s="1060"/>
    </row>
    <row r="9949" spans="25:26">
      <c r="Y9949" s="1354"/>
      <c r="Z9949" s="1060"/>
    </row>
    <row r="9950" spans="25:26">
      <c r="Y9950" s="1354"/>
      <c r="Z9950" s="1060"/>
    </row>
    <row r="9951" spans="25:26">
      <c r="Y9951" s="1354"/>
      <c r="Z9951" s="1060"/>
    </row>
    <row r="9952" spans="25:26">
      <c r="Y9952" s="1354"/>
      <c r="Z9952" s="1060"/>
    </row>
    <row r="9953" spans="25:26">
      <c r="Y9953" s="1354"/>
      <c r="Z9953" s="1060"/>
    </row>
    <row r="9954" spans="25:26">
      <c r="Y9954" s="1354"/>
      <c r="Z9954" s="1060"/>
    </row>
    <row r="9955" spans="25:26">
      <c r="Y9955" s="1354"/>
      <c r="Z9955" s="1060"/>
    </row>
    <row r="9956" spans="25:26">
      <c r="Y9956" s="1354"/>
      <c r="Z9956" s="1060"/>
    </row>
    <row r="9957" spans="25:26">
      <c r="Y9957" s="1354"/>
      <c r="Z9957" s="1060"/>
    </row>
    <row r="9958" spans="25:26">
      <c r="Y9958" s="1354"/>
      <c r="Z9958" s="1060"/>
    </row>
    <row r="9959" spans="25:26">
      <c r="Y9959" s="1354"/>
      <c r="Z9959" s="1060"/>
    </row>
    <row r="9960" spans="25:26">
      <c r="Y9960" s="1354"/>
      <c r="Z9960" s="1060"/>
    </row>
    <row r="9961" spans="25:26">
      <c r="Y9961" s="1354"/>
      <c r="Z9961" s="1060"/>
    </row>
    <row r="9962" spans="25:26">
      <c r="Y9962" s="1354"/>
      <c r="Z9962" s="1060"/>
    </row>
    <row r="9963" spans="25:26">
      <c r="Y9963" s="1354"/>
      <c r="Z9963" s="1060"/>
    </row>
    <row r="9964" spans="25:26">
      <c r="Y9964" s="1354"/>
      <c r="Z9964" s="1060"/>
    </row>
    <row r="9965" spans="25:26">
      <c r="Y9965" s="1354"/>
      <c r="Z9965" s="1060"/>
    </row>
    <row r="9966" spans="25:26">
      <c r="Y9966" s="1354"/>
      <c r="Z9966" s="1060"/>
    </row>
    <row r="9967" spans="25:26">
      <c r="Y9967" s="1354"/>
      <c r="Z9967" s="1060"/>
    </row>
    <row r="9968" spans="25:26">
      <c r="Y9968" s="1354"/>
      <c r="Z9968" s="1060"/>
    </row>
    <row r="9969" spans="25:26">
      <c r="Y9969" s="1354"/>
      <c r="Z9969" s="1060"/>
    </row>
    <row r="9970" spans="25:26">
      <c r="Y9970" s="1354"/>
      <c r="Z9970" s="1060"/>
    </row>
    <row r="9971" spans="25:26">
      <c r="Y9971" s="1354"/>
      <c r="Z9971" s="1060"/>
    </row>
    <row r="9972" spans="25:26">
      <c r="Y9972" s="1354"/>
      <c r="Z9972" s="1060"/>
    </row>
    <row r="9973" spans="25:26">
      <c r="Y9973" s="1354"/>
      <c r="Z9973" s="1060"/>
    </row>
    <row r="9974" spans="25:26">
      <c r="Y9974" s="1354"/>
      <c r="Z9974" s="1060"/>
    </row>
    <row r="9975" spans="25:26">
      <c r="Y9975" s="1354"/>
      <c r="Z9975" s="1060"/>
    </row>
    <row r="9976" spans="25:26">
      <c r="Y9976" s="1354"/>
      <c r="Z9976" s="1060"/>
    </row>
    <row r="9977" spans="25:26">
      <c r="Y9977" s="1354"/>
      <c r="Z9977" s="1060"/>
    </row>
    <row r="9978" spans="25:26">
      <c r="Y9978" s="1354"/>
      <c r="Z9978" s="1060"/>
    </row>
    <row r="9979" spans="25:26">
      <c r="Y9979" s="1354"/>
      <c r="Z9979" s="1060"/>
    </row>
    <row r="9980" spans="25:26">
      <c r="Y9980" s="1354"/>
      <c r="Z9980" s="1060"/>
    </row>
    <row r="9981" spans="25:26">
      <c r="Y9981" s="1354"/>
      <c r="Z9981" s="1060"/>
    </row>
    <row r="9982" spans="25:26">
      <c r="Y9982" s="1354"/>
      <c r="Z9982" s="1060"/>
    </row>
    <row r="9983" spans="25:26">
      <c r="Y9983" s="1354"/>
      <c r="Z9983" s="1060"/>
    </row>
    <row r="9984" spans="25:26">
      <c r="Y9984" s="1354"/>
      <c r="Z9984" s="1060"/>
    </row>
    <row r="9985" spans="25:26">
      <c r="Y9985" s="1354"/>
      <c r="Z9985" s="1060"/>
    </row>
    <row r="9986" spans="25:26">
      <c r="Y9986" s="1354"/>
      <c r="Z9986" s="1060"/>
    </row>
    <row r="9987" spans="25:26">
      <c r="Y9987" s="1354"/>
      <c r="Z9987" s="1060"/>
    </row>
    <row r="9988" spans="25:26">
      <c r="Y9988" s="1354"/>
      <c r="Z9988" s="1060"/>
    </row>
    <row r="9989" spans="25:26">
      <c r="Y9989" s="1354"/>
      <c r="Z9989" s="1060"/>
    </row>
    <row r="9990" spans="25:26">
      <c r="Y9990" s="1354"/>
      <c r="Z9990" s="1060"/>
    </row>
    <row r="9991" spans="25:26">
      <c r="Y9991" s="1354"/>
      <c r="Z9991" s="1060"/>
    </row>
    <row r="9992" spans="25:26">
      <c r="Y9992" s="1354"/>
      <c r="Z9992" s="1060"/>
    </row>
    <row r="9993" spans="25:26">
      <c r="Y9993" s="1354"/>
      <c r="Z9993" s="1060"/>
    </row>
    <row r="9994" spans="25:26">
      <c r="Y9994" s="1354"/>
      <c r="Z9994" s="1060"/>
    </row>
    <row r="9995" spans="25:26">
      <c r="Y9995" s="1354"/>
      <c r="Z9995" s="1060"/>
    </row>
    <row r="9996" spans="25:26">
      <c r="Y9996" s="1354"/>
      <c r="Z9996" s="1060"/>
    </row>
    <row r="9997" spans="25:26">
      <c r="Y9997" s="1354"/>
      <c r="Z9997" s="1060"/>
    </row>
    <row r="9998" spans="25:26">
      <c r="Y9998" s="1354"/>
      <c r="Z9998" s="1060"/>
    </row>
    <row r="9999" spans="25:26">
      <c r="Y9999" s="1354"/>
      <c r="Z9999" s="1060"/>
    </row>
    <row r="10000" spans="25:26">
      <c r="Y10000" s="1354"/>
      <c r="Z10000" s="1060"/>
    </row>
    <row r="10001" spans="25:26">
      <c r="Y10001" s="1354"/>
      <c r="Z10001" s="1060"/>
    </row>
    <row r="10002" spans="25:26">
      <c r="Y10002" s="1354"/>
      <c r="Z10002" s="1060"/>
    </row>
    <row r="10003" spans="25:26">
      <c r="Y10003" s="1354"/>
      <c r="Z10003" s="1060"/>
    </row>
    <row r="10004" spans="25:26">
      <c r="Y10004" s="1354"/>
      <c r="Z10004" s="1060"/>
    </row>
    <row r="10005" spans="25:26">
      <c r="Y10005" s="1354"/>
      <c r="Z10005" s="1060"/>
    </row>
    <row r="10006" spans="25:26">
      <c r="Y10006" s="1354"/>
      <c r="Z10006" s="1060"/>
    </row>
    <row r="10007" spans="25:26">
      <c r="Y10007" s="1354"/>
      <c r="Z10007" s="1060"/>
    </row>
    <row r="10008" spans="25:26">
      <c r="Y10008" s="1354"/>
      <c r="Z10008" s="1060"/>
    </row>
    <row r="10009" spans="25:26">
      <c r="Y10009" s="1354"/>
      <c r="Z10009" s="1060"/>
    </row>
    <row r="10010" spans="25:26">
      <c r="Y10010" s="1354"/>
      <c r="Z10010" s="1060"/>
    </row>
    <row r="10011" spans="25:26">
      <c r="Y10011" s="1354"/>
      <c r="Z10011" s="1060"/>
    </row>
    <row r="10012" spans="25:26">
      <c r="Y10012" s="1354"/>
      <c r="Z10012" s="1060"/>
    </row>
    <row r="10013" spans="25:26">
      <c r="Y10013" s="1354"/>
      <c r="Z10013" s="1060"/>
    </row>
    <row r="10014" spans="25:26">
      <c r="Y10014" s="1354"/>
      <c r="Z10014" s="1060"/>
    </row>
    <row r="10015" spans="25:26">
      <c r="Y10015" s="1354"/>
      <c r="Z10015" s="1060"/>
    </row>
    <row r="10016" spans="25:26">
      <c r="Y10016" s="1354"/>
      <c r="Z10016" s="1060"/>
    </row>
    <row r="10017" spans="25:26">
      <c r="Y10017" s="1354"/>
      <c r="Z10017" s="1060"/>
    </row>
    <row r="10018" spans="25:26">
      <c r="Y10018" s="1354"/>
      <c r="Z10018" s="1060"/>
    </row>
    <row r="10019" spans="25:26">
      <c r="Y10019" s="1354"/>
      <c r="Z10019" s="1060"/>
    </row>
    <row r="10020" spans="25:26">
      <c r="Y10020" s="1354"/>
      <c r="Z10020" s="1060"/>
    </row>
    <row r="10021" spans="25:26">
      <c r="Y10021" s="1354"/>
      <c r="Z10021" s="1060"/>
    </row>
    <row r="10022" spans="25:26">
      <c r="Y10022" s="1354"/>
      <c r="Z10022" s="1060"/>
    </row>
    <row r="10023" spans="25:26">
      <c r="Y10023" s="1354"/>
      <c r="Z10023" s="1060"/>
    </row>
    <row r="10024" spans="25:26">
      <c r="Y10024" s="1354"/>
      <c r="Z10024" s="1060"/>
    </row>
    <row r="10025" spans="25:26">
      <c r="Y10025" s="1354"/>
      <c r="Z10025" s="1060"/>
    </row>
    <row r="10026" spans="25:26">
      <c r="Y10026" s="1354"/>
      <c r="Z10026" s="1060"/>
    </row>
    <row r="10027" spans="25:26">
      <c r="Y10027" s="1354"/>
      <c r="Z10027" s="1060"/>
    </row>
    <row r="10028" spans="25:26">
      <c r="Y10028" s="1354"/>
      <c r="Z10028" s="1060"/>
    </row>
    <row r="10029" spans="25:26">
      <c r="Y10029" s="1354"/>
      <c r="Z10029" s="1060"/>
    </row>
    <row r="10030" spans="25:26">
      <c r="Y10030" s="1354"/>
      <c r="Z10030" s="1060"/>
    </row>
    <row r="10031" spans="25:26">
      <c r="Y10031" s="1354"/>
      <c r="Z10031" s="1060"/>
    </row>
    <row r="10032" spans="25:26">
      <c r="Y10032" s="1354"/>
      <c r="Z10032" s="1060"/>
    </row>
    <row r="10033" spans="25:26">
      <c r="Y10033" s="1354"/>
      <c r="Z10033" s="1060"/>
    </row>
    <row r="10034" spans="25:26">
      <c r="Y10034" s="1354"/>
      <c r="Z10034" s="1060"/>
    </row>
    <row r="10035" spans="25:26">
      <c r="Y10035" s="1354"/>
      <c r="Z10035" s="1060"/>
    </row>
    <row r="10036" spans="25:26">
      <c r="Y10036" s="1354"/>
      <c r="Z10036" s="1060"/>
    </row>
    <row r="10037" spans="25:26">
      <c r="Y10037" s="1354"/>
      <c r="Z10037" s="1060"/>
    </row>
    <row r="10038" spans="25:26">
      <c r="Y10038" s="1354"/>
      <c r="Z10038" s="1060"/>
    </row>
    <row r="10039" spans="25:26">
      <c r="Y10039" s="1354"/>
      <c r="Z10039" s="1060"/>
    </row>
    <row r="10040" spans="25:26">
      <c r="Y10040" s="1354"/>
      <c r="Z10040" s="1060"/>
    </row>
    <row r="10041" spans="25:26">
      <c r="Y10041" s="1354"/>
      <c r="Z10041" s="1060"/>
    </row>
    <row r="10042" spans="25:26">
      <c r="Y10042" s="1354"/>
      <c r="Z10042" s="1060"/>
    </row>
    <row r="10043" spans="25:26">
      <c r="Y10043" s="1354"/>
      <c r="Z10043" s="1060"/>
    </row>
    <row r="10044" spans="25:26">
      <c r="Y10044" s="1354"/>
      <c r="Z10044" s="1060"/>
    </row>
    <row r="10045" spans="25:26">
      <c r="Y10045" s="1354"/>
      <c r="Z10045" s="1060"/>
    </row>
    <row r="10046" spans="25:26">
      <c r="Y10046" s="1354"/>
      <c r="Z10046" s="1060"/>
    </row>
    <row r="10047" spans="25:26">
      <c r="Y10047" s="1354"/>
      <c r="Z10047" s="1060"/>
    </row>
    <row r="10048" spans="25:26">
      <c r="Y10048" s="1354"/>
      <c r="Z10048" s="1060"/>
    </row>
    <row r="10049" spans="25:26">
      <c r="Y10049" s="1354"/>
      <c r="Z10049" s="1060"/>
    </row>
    <row r="10050" spans="25:26">
      <c r="Y10050" s="1354"/>
      <c r="Z10050" s="1060"/>
    </row>
    <row r="10051" spans="25:26">
      <c r="Y10051" s="1354"/>
      <c r="Z10051" s="1060"/>
    </row>
    <row r="10052" spans="25:26">
      <c r="Y10052" s="1354"/>
      <c r="Z10052" s="1060"/>
    </row>
    <row r="10053" spans="25:26">
      <c r="Y10053" s="1354"/>
      <c r="Z10053" s="1060"/>
    </row>
    <row r="10054" spans="25:26">
      <c r="Y10054" s="1354"/>
      <c r="Z10054" s="1060"/>
    </row>
    <row r="10055" spans="25:26">
      <c r="Y10055" s="1354"/>
      <c r="Z10055" s="1060"/>
    </row>
    <row r="10056" spans="25:26">
      <c r="Y10056" s="1354"/>
      <c r="Z10056" s="1060"/>
    </row>
    <row r="10057" spans="25:26">
      <c r="Y10057" s="1354"/>
      <c r="Z10057" s="1060"/>
    </row>
    <row r="10058" spans="25:26">
      <c r="Y10058" s="1354"/>
      <c r="Z10058" s="1060"/>
    </row>
    <row r="10059" spans="25:26">
      <c r="Y10059" s="1354"/>
      <c r="Z10059" s="1060"/>
    </row>
    <row r="10060" spans="25:26">
      <c r="Y10060" s="1354"/>
      <c r="Z10060" s="1060"/>
    </row>
    <row r="10061" spans="25:26">
      <c r="Y10061" s="1354"/>
      <c r="Z10061" s="1060"/>
    </row>
    <row r="10062" spans="25:26">
      <c r="Y10062" s="1354"/>
      <c r="Z10062" s="1060"/>
    </row>
    <row r="10063" spans="25:26">
      <c r="Y10063" s="1354"/>
      <c r="Z10063" s="1060"/>
    </row>
    <row r="10064" spans="25:26">
      <c r="Y10064" s="1354"/>
      <c r="Z10064" s="1060"/>
    </row>
    <row r="10065" spans="25:26">
      <c r="Y10065" s="1354"/>
      <c r="Z10065" s="1060"/>
    </row>
    <row r="10066" spans="25:26">
      <c r="Y10066" s="1354"/>
      <c r="Z10066" s="1060"/>
    </row>
    <row r="10067" spans="25:26">
      <c r="Y10067" s="1354"/>
      <c r="Z10067" s="1060"/>
    </row>
    <row r="10068" spans="25:26">
      <c r="Y10068" s="1354"/>
      <c r="Z10068" s="1060"/>
    </row>
    <row r="10069" spans="25:26">
      <c r="Y10069" s="1354"/>
      <c r="Z10069" s="1060"/>
    </row>
    <row r="10070" spans="25:26">
      <c r="Y10070" s="1354"/>
      <c r="Z10070" s="1060"/>
    </row>
    <row r="10071" spans="25:26">
      <c r="Y10071" s="1354"/>
      <c r="Z10071" s="1060"/>
    </row>
    <row r="10072" spans="25:26">
      <c r="Y10072" s="1354"/>
      <c r="Z10072" s="1060"/>
    </row>
    <row r="10073" spans="25:26">
      <c r="Y10073" s="1354"/>
      <c r="Z10073" s="1060"/>
    </row>
    <row r="10074" spans="25:26">
      <c r="Y10074" s="1354"/>
      <c r="Z10074" s="1060"/>
    </row>
    <row r="10075" spans="25:26">
      <c r="Y10075" s="1354"/>
      <c r="Z10075" s="1060"/>
    </row>
    <row r="10076" spans="25:26">
      <c r="Y10076" s="1354"/>
      <c r="Z10076" s="1060"/>
    </row>
    <row r="10077" spans="25:26">
      <c r="Y10077" s="1354"/>
      <c r="Z10077" s="1060"/>
    </row>
    <row r="10078" spans="25:26">
      <c r="Y10078" s="1354"/>
      <c r="Z10078" s="1060"/>
    </row>
    <row r="10079" spans="25:26">
      <c r="Y10079" s="1354"/>
      <c r="Z10079" s="1060"/>
    </row>
    <row r="10080" spans="25:26">
      <c r="Y10080" s="1354"/>
      <c r="Z10080" s="1060"/>
    </row>
    <row r="10081" spans="25:26">
      <c r="Y10081" s="1354"/>
      <c r="Z10081" s="1060"/>
    </row>
    <row r="10082" spans="25:26">
      <c r="Y10082" s="1354"/>
      <c r="Z10082" s="1060"/>
    </row>
    <row r="10083" spans="25:26">
      <c r="Y10083" s="1354"/>
      <c r="Z10083" s="1060"/>
    </row>
    <row r="10084" spans="25:26">
      <c r="Y10084" s="1354"/>
      <c r="Z10084" s="1060"/>
    </row>
    <row r="10085" spans="25:26">
      <c r="Y10085" s="1354"/>
      <c r="Z10085" s="1060"/>
    </row>
    <row r="10086" spans="25:26">
      <c r="Y10086" s="1354"/>
      <c r="Z10086" s="1060"/>
    </row>
    <row r="10087" spans="25:26">
      <c r="Y10087" s="1354"/>
      <c r="Z10087" s="1060"/>
    </row>
    <row r="10088" spans="25:26">
      <c r="Y10088" s="1354"/>
      <c r="Z10088" s="1060"/>
    </row>
    <row r="10089" spans="25:26">
      <c r="Y10089" s="1354"/>
      <c r="Z10089" s="1060"/>
    </row>
    <row r="10090" spans="25:26">
      <c r="Y10090" s="1354"/>
      <c r="Z10090" s="1060"/>
    </row>
    <row r="10091" spans="25:26">
      <c r="Y10091" s="1354"/>
      <c r="Z10091" s="1060"/>
    </row>
    <row r="10092" spans="25:26">
      <c r="Y10092" s="1354"/>
      <c r="Z10092" s="1060"/>
    </row>
    <row r="10093" spans="25:26">
      <c r="Y10093" s="1354"/>
      <c r="Z10093" s="1060"/>
    </row>
    <row r="10094" spans="25:26">
      <c r="Y10094" s="1354"/>
      <c r="Z10094" s="1060"/>
    </row>
    <row r="10095" spans="25:26">
      <c r="Y10095" s="1354"/>
      <c r="Z10095" s="1060"/>
    </row>
    <row r="10096" spans="25:26">
      <c r="Y10096" s="1354"/>
      <c r="Z10096" s="1060"/>
    </row>
    <row r="10097" spans="25:26">
      <c r="Y10097" s="1354"/>
      <c r="Z10097" s="1060"/>
    </row>
    <row r="10098" spans="25:26">
      <c r="Y10098" s="1354"/>
      <c r="Z10098" s="1060"/>
    </row>
    <row r="10099" spans="25:26">
      <c r="Y10099" s="1354"/>
      <c r="Z10099" s="1060"/>
    </row>
    <row r="10100" spans="25:26">
      <c r="Y10100" s="1354"/>
      <c r="Z10100" s="1060"/>
    </row>
    <row r="10101" spans="25:26">
      <c r="Y10101" s="1354"/>
      <c r="Z10101" s="1060"/>
    </row>
    <row r="10102" spans="25:26">
      <c r="Y10102" s="1354"/>
      <c r="Z10102" s="1060"/>
    </row>
    <row r="10103" spans="25:26">
      <c r="Y10103" s="1354"/>
      <c r="Z10103" s="1060"/>
    </row>
    <row r="10104" spans="25:26">
      <c r="Y10104" s="1354"/>
      <c r="Z10104" s="1060"/>
    </row>
    <row r="10105" spans="25:26">
      <c r="Y10105" s="1354"/>
      <c r="Z10105" s="1060"/>
    </row>
    <row r="10106" spans="25:26">
      <c r="Y10106" s="1354"/>
      <c r="Z10106" s="1060"/>
    </row>
    <row r="10107" spans="25:26">
      <c r="Y10107" s="1354"/>
      <c r="Z10107" s="1060"/>
    </row>
    <row r="10108" spans="25:26">
      <c r="Y10108" s="1354"/>
      <c r="Z10108" s="1060"/>
    </row>
    <row r="10109" spans="25:26">
      <c r="Y10109" s="1354"/>
      <c r="Z10109" s="1060"/>
    </row>
    <row r="10110" spans="25:26">
      <c r="Y10110" s="1354"/>
      <c r="Z10110" s="1060"/>
    </row>
    <row r="10111" spans="25:26">
      <c r="Y10111" s="1354"/>
      <c r="Z10111" s="1060"/>
    </row>
    <row r="10112" spans="25:26">
      <c r="Y10112" s="1354"/>
      <c r="Z10112" s="1060"/>
    </row>
    <row r="10113" spans="25:26">
      <c r="Y10113" s="1354"/>
      <c r="Z10113" s="1060"/>
    </row>
    <row r="10114" spans="25:26">
      <c r="Y10114" s="1354"/>
      <c r="Z10114" s="1060"/>
    </row>
    <row r="10115" spans="25:26">
      <c r="Y10115" s="1354"/>
      <c r="Z10115" s="1060"/>
    </row>
    <row r="10116" spans="25:26">
      <c r="Y10116" s="1354"/>
      <c r="Z10116" s="1060"/>
    </row>
    <row r="10117" spans="25:26">
      <c r="Y10117" s="1354"/>
      <c r="Z10117" s="1060"/>
    </row>
    <row r="10118" spans="25:26">
      <c r="Y10118" s="1354"/>
      <c r="Z10118" s="1060"/>
    </row>
    <row r="10119" spans="25:26">
      <c r="Y10119" s="1354"/>
      <c r="Z10119" s="1060"/>
    </row>
    <row r="10120" spans="25:26">
      <c r="Y10120" s="1354"/>
      <c r="Z10120" s="1060"/>
    </row>
    <row r="10121" spans="25:26">
      <c r="Y10121" s="1354"/>
      <c r="Z10121" s="1060"/>
    </row>
    <row r="10122" spans="25:26">
      <c r="Y10122" s="1354"/>
      <c r="Z10122" s="1060"/>
    </row>
    <row r="10123" spans="25:26">
      <c r="Y10123" s="1354"/>
      <c r="Z10123" s="1060"/>
    </row>
    <row r="10124" spans="25:26">
      <c r="Y10124" s="1354"/>
      <c r="Z10124" s="1060"/>
    </row>
    <row r="10125" spans="25:26">
      <c r="Y10125" s="1354"/>
      <c r="Z10125" s="1060"/>
    </row>
    <row r="10126" spans="25:26">
      <c r="Y10126" s="1354"/>
      <c r="Z10126" s="1060"/>
    </row>
    <row r="10127" spans="25:26">
      <c r="Y10127" s="1354"/>
      <c r="Z10127" s="1060"/>
    </row>
    <row r="10128" spans="25:26">
      <c r="Y10128" s="1354"/>
      <c r="Z10128" s="1060"/>
    </row>
    <row r="10129" spans="25:26">
      <c r="Y10129" s="1354"/>
      <c r="Z10129" s="1060"/>
    </row>
    <row r="10130" spans="25:26">
      <c r="Y10130" s="1354"/>
      <c r="Z10130" s="1060"/>
    </row>
    <row r="10131" spans="25:26">
      <c r="Y10131" s="1354"/>
      <c r="Z10131" s="1060"/>
    </row>
    <row r="10132" spans="25:26">
      <c r="Y10132" s="1354"/>
      <c r="Z10132" s="1060"/>
    </row>
    <row r="10133" spans="25:26">
      <c r="Y10133" s="1354"/>
      <c r="Z10133" s="1060"/>
    </row>
    <row r="10134" spans="25:26">
      <c r="Y10134" s="1354"/>
      <c r="Z10134" s="1060"/>
    </row>
    <row r="10135" spans="25:26">
      <c r="Y10135" s="1354"/>
      <c r="Z10135" s="1060"/>
    </row>
    <row r="10136" spans="25:26">
      <c r="Y10136" s="1354"/>
      <c r="Z10136" s="1060"/>
    </row>
    <row r="10137" spans="25:26">
      <c r="Y10137" s="1354"/>
      <c r="Z10137" s="1060"/>
    </row>
    <row r="10138" spans="25:26">
      <c r="Y10138" s="1354"/>
      <c r="Z10138" s="1060"/>
    </row>
    <row r="10139" spans="25:26">
      <c r="Y10139" s="1354"/>
      <c r="Z10139" s="1060"/>
    </row>
    <row r="10140" spans="25:26">
      <c r="Y10140" s="1354"/>
      <c r="Z10140" s="1060"/>
    </row>
    <row r="10141" spans="25:26">
      <c r="Y10141" s="1354"/>
      <c r="Z10141" s="1060"/>
    </row>
    <row r="10142" spans="25:26">
      <c r="Y10142" s="1354"/>
      <c r="Z10142" s="1060"/>
    </row>
    <row r="10143" spans="25:26">
      <c r="Y10143" s="1354"/>
      <c r="Z10143" s="1060"/>
    </row>
    <row r="10144" spans="25:26">
      <c r="Y10144" s="1354"/>
      <c r="Z10144" s="1060"/>
    </row>
    <row r="10145" spans="25:26">
      <c r="Y10145" s="1354"/>
      <c r="Z10145" s="1060"/>
    </row>
    <row r="10146" spans="25:26">
      <c r="Y10146" s="1354"/>
      <c r="Z10146" s="1060"/>
    </row>
    <row r="10147" spans="25:26">
      <c r="Y10147" s="1354"/>
      <c r="Z10147" s="1060"/>
    </row>
    <row r="10148" spans="25:26">
      <c r="Y10148" s="1354"/>
      <c r="Z10148" s="1060"/>
    </row>
    <row r="10149" spans="25:26">
      <c r="Y10149" s="1354"/>
      <c r="Z10149" s="1060"/>
    </row>
    <row r="10150" spans="25:26">
      <c r="Y10150" s="1354"/>
      <c r="Z10150" s="1060"/>
    </row>
    <row r="10151" spans="25:26">
      <c r="Y10151" s="1354"/>
      <c r="Z10151" s="1060"/>
    </row>
    <row r="10152" spans="25:26">
      <c r="Y10152" s="1354"/>
      <c r="Z10152" s="1060"/>
    </row>
    <row r="10153" spans="25:26">
      <c r="Y10153" s="1354"/>
      <c r="Z10153" s="1060"/>
    </row>
    <row r="10154" spans="25:26">
      <c r="Y10154" s="1354"/>
      <c r="Z10154" s="1060"/>
    </row>
    <row r="10155" spans="25:26">
      <c r="Y10155" s="1354"/>
      <c r="Z10155" s="1060"/>
    </row>
    <row r="10156" spans="25:26">
      <c r="Y10156" s="1354"/>
      <c r="Z10156" s="1060"/>
    </row>
    <row r="10157" spans="25:26">
      <c r="Y10157" s="1354"/>
      <c r="Z10157" s="1060"/>
    </row>
    <row r="10158" spans="25:26">
      <c r="Y10158" s="1354"/>
      <c r="Z10158" s="1060"/>
    </row>
    <row r="10159" spans="25:26">
      <c r="Y10159" s="1354"/>
      <c r="Z10159" s="1060"/>
    </row>
    <row r="10160" spans="25:26">
      <c r="Y10160" s="1354"/>
      <c r="Z10160" s="1060"/>
    </row>
    <row r="10161" spans="25:26">
      <c r="Y10161" s="1354"/>
      <c r="Z10161" s="1060"/>
    </row>
    <row r="10162" spans="25:26">
      <c r="Y10162" s="1354"/>
      <c r="Z10162" s="1060"/>
    </row>
    <row r="10163" spans="25:26">
      <c r="Y10163" s="1354"/>
      <c r="Z10163" s="1060"/>
    </row>
    <row r="10164" spans="25:26">
      <c r="Y10164" s="1354"/>
      <c r="Z10164" s="1060"/>
    </row>
    <row r="10165" spans="25:26">
      <c r="Y10165" s="1354"/>
      <c r="Z10165" s="1060"/>
    </row>
    <row r="10166" spans="25:26">
      <c r="Y10166" s="1354"/>
      <c r="Z10166" s="1060"/>
    </row>
    <row r="10167" spans="25:26">
      <c r="Y10167" s="1354"/>
      <c r="Z10167" s="1060"/>
    </row>
    <row r="10168" spans="25:26">
      <c r="Y10168" s="1354"/>
      <c r="Z10168" s="1060"/>
    </row>
    <row r="10169" spans="25:26">
      <c r="Y10169" s="1354"/>
      <c r="Z10169" s="1060"/>
    </row>
    <row r="10170" spans="25:26">
      <c r="Y10170" s="1354"/>
      <c r="Z10170" s="1060"/>
    </row>
    <row r="10171" spans="25:26">
      <c r="Y10171" s="1354"/>
      <c r="Z10171" s="1060"/>
    </row>
    <row r="10172" spans="25:26">
      <c r="Y10172" s="1354"/>
      <c r="Z10172" s="1060"/>
    </row>
    <row r="10173" spans="25:26">
      <c r="Y10173" s="1354"/>
      <c r="Z10173" s="1060"/>
    </row>
    <row r="10174" spans="25:26">
      <c r="Y10174" s="1354"/>
      <c r="Z10174" s="1060"/>
    </row>
    <row r="10175" spans="25:26">
      <c r="Y10175" s="1354"/>
      <c r="Z10175" s="1060"/>
    </row>
    <row r="10176" spans="25:26">
      <c r="Y10176" s="1354"/>
      <c r="Z10176" s="1060"/>
    </row>
    <row r="10177" spans="25:26">
      <c r="Y10177" s="1354"/>
      <c r="Z10177" s="1060"/>
    </row>
    <row r="10178" spans="25:26">
      <c r="Y10178" s="1354"/>
      <c r="Z10178" s="1060"/>
    </row>
    <row r="10179" spans="25:26">
      <c r="Y10179" s="1354"/>
      <c r="Z10179" s="1060"/>
    </row>
    <row r="10180" spans="25:26">
      <c r="Y10180" s="1354"/>
      <c r="Z10180" s="1060"/>
    </row>
    <row r="10181" spans="25:26">
      <c r="Y10181" s="1354"/>
      <c r="Z10181" s="1060"/>
    </row>
    <row r="10182" spans="25:26">
      <c r="Y10182" s="1354"/>
      <c r="Z10182" s="1060"/>
    </row>
    <row r="10183" spans="25:26">
      <c r="Y10183" s="1354"/>
      <c r="Z10183" s="1060"/>
    </row>
    <row r="10184" spans="25:26">
      <c r="Y10184" s="1354"/>
      <c r="Z10184" s="1060"/>
    </row>
    <row r="10185" spans="25:26">
      <c r="Y10185" s="1354"/>
      <c r="Z10185" s="1060"/>
    </row>
    <row r="10186" spans="25:26">
      <c r="Y10186" s="1354"/>
      <c r="Z10186" s="1060"/>
    </row>
    <row r="10187" spans="25:26">
      <c r="Y10187" s="1354"/>
      <c r="Z10187" s="1060"/>
    </row>
    <row r="10188" spans="25:26">
      <c r="Y10188" s="1354"/>
      <c r="Z10188" s="1060"/>
    </row>
    <row r="10189" spans="25:26">
      <c r="Y10189" s="1354"/>
      <c r="Z10189" s="1060"/>
    </row>
    <row r="10190" spans="25:26">
      <c r="Y10190" s="1354"/>
      <c r="Z10190" s="1060"/>
    </row>
    <row r="10191" spans="25:26">
      <c r="Y10191" s="1354"/>
      <c r="Z10191" s="1060"/>
    </row>
    <row r="10192" spans="25:26">
      <c r="Y10192" s="1354"/>
      <c r="Z10192" s="1060"/>
    </row>
    <row r="10193" spans="25:26">
      <c r="Y10193" s="1354"/>
      <c r="Z10193" s="1060"/>
    </row>
    <row r="10194" spans="25:26">
      <c r="Y10194" s="1354"/>
      <c r="Z10194" s="1060"/>
    </row>
    <row r="10195" spans="25:26">
      <c r="Y10195" s="1354"/>
      <c r="Z10195" s="1060"/>
    </row>
    <row r="10196" spans="25:26">
      <c r="Y10196" s="1354"/>
      <c r="Z10196" s="1060"/>
    </row>
    <row r="10197" spans="25:26">
      <c r="Y10197" s="1354"/>
      <c r="Z10197" s="1060"/>
    </row>
    <row r="10198" spans="25:26">
      <c r="Y10198" s="1354"/>
      <c r="Z10198" s="1060"/>
    </row>
    <row r="10199" spans="25:26">
      <c r="Y10199" s="1354"/>
      <c r="Z10199" s="1060"/>
    </row>
    <row r="10200" spans="25:26">
      <c r="Y10200" s="1354"/>
      <c r="Z10200" s="1060"/>
    </row>
    <row r="10201" spans="25:26">
      <c r="Y10201" s="1354"/>
      <c r="Z10201" s="1060"/>
    </row>
    <row r="10202" spans="25:26">
      <c r="Y10202" s="1354"/>
      <c r="Z10202" s="1060"/>
    </row>
    <row r="10203" spans="25:26">
      <c r="Y10203" s="1354"/>
      <c r="Z10203" s="1060"/>
    </row>
    <row r="10204" spans="25:26">
      <c r="Y10204" s="1354"/>
      <c r="Z10204" s="1060"/>
    </row>
    <row r="10205" spans="25:26">
      <c r="Y10205" s="1354"/>
      <c r="Z10205" s="1060"/>
    </row>
    <row r="10206" spans="25:26">
      <c r="Y10206" s="1354"/>
      <c r="Z10206" s="1060"/>
    </row>
    <row r="10207" spans="25:26">
      <c r="Y10207" s="1354"/>
      <c r="Z10207" s="1060"/>
    </row>
    <row r="10208" spans="25:26">
      <c r="Y10208" s="1354"/>
      <c r="Z10208" s="1060"/>
    </row>
    <row r="10209" spans="25:26">
      <c r="Y10209" s="1354"/>
      <c r="Z10209" s="1060"/>
    </row>
    <row r="10210" spans="25:26">
      <c r="Y10210" s="1354"/>
      <c r="Z10210" s="1060"/>
    </row>
    <row r="10211" spans="25:26">
      <c r="Y10211" s="1354"/>
      <c r="Z10211" s="1060"/>
    </row>
    <row r="10212" spans="25:26">
      <c r="Y10212" s="1354"/>
      <c r="Z10212" s="1060"/>
    </row>
    <row r="10213" spans="25:26">
      <c r="Y10213" s="1354"/>
      <c r="Z10213" s="1060"/>
    </row>
    <row r="10214" spans="25:26">
      <c r="Y10214" s="1354"/>
      <c r="Z10214" s="1060"/>
    </row>
    <row r="10215" spans="25:26">
      <c r="Y10215" s="1354"/>
      <c r="Z10215" s="1060"/>
    </row>
    <row r="10216" spans="25:26">
      <c r="Y10216" s="1354"/>
      <c r="Z10216" s="1060"/>
    </row>
    <row r="10217" spans="25:26">
      <c r="Y10217" s="1354"/>
      <c r="Z10217" s="1060"/>
    </row>
    <row r="10218" spans="25:26">
      <c r="Y10218" s="1354"/>
      <c r="Z10218" s="1060"/>
    </row>
    <row r="10219" spans="25:26">
      <c r="Y10219" s="1354"/>
      <c r="Z10219" s="1060"/>
    </row>
    <row r="10220" spans="25:26">
      <c r="Y10220" s="1354"/>
      <c r="Z10220" s="1060"/>
    </row>
    <row r="10221" spans="25:26">
      <c r="Y10221" s="1354"/>
      <c r="Z10221" s="1060"/>
    </row>
    <row r="10222" spans="25:26">
      <c r="Y10222" s="1354"/>
      <c r="Z10222" s="1060"/>
    </row>
    <row r="10223" spans="25:26">
      <c r="Y10223" s="1354"/>
      <c r="Z10223" s="1060"/>
    </row>
    <row r="10224" spans="25:26">
      <c r="Y10224" s="1354"/>
      <c r="Z10224" s="1060"/>
    </row>
    <row r="10225" spans="25:26">
      <c r="Y10225" s="1354"/>
      <c r="Z10225" s="1060"/>
    </row>
    <row r="10226" spans="25:26">
      <c r="Y10226" s="1354"/>
      <c r="Z10226" s="1060"/>
    </row>
    <row r="10227" spans="25:26">
      <c r="Y10227" s="1354"/>
      <c r="Z10227" s="1060"/>
    </row>
    <row r="10228" spans="25:26">
      <c r="Y10228" s="1354"/>
      <c r="Z10228" s="1060"/>
    </row>
    <row r="10229" spans="25:26">
      <c r="Y10229" s="1354"/>
      <c r="Z10229" s="1060"/>
    </row>
    <row r="10230" spans="25:26">
      <c r="Y10230" s="1354"/>
      <c r="Z10230" s="1060"/>
    </row>
    <row r="10231" spans="25:26">
      <c r="Y10231" s="1354"/>
      <c r="Z10231" s="1060"/>
    </row>
    <row r="10232" spans="25:26">
      <c r="Y10232" s="1354"/>
      <c r="Z10232" s="1060"/>
    </row>
    <row r="10233" spans="25:26">
      <c r="Y10233" s="1354"/>
      <c r="Z10233" s="1060"/>
    </row>
    <row r="10234" spans="25:26">
      <c r="Y10234" s="1354"/>
      <c r="Z10234" s="1060"/>
    </row>
    <row r="10235" spans="25:26">
      <c r="Y10235" s="1354"/>
      <c r="Z10235" s="1060"/>
    </row>
    <row r="10236" spans="25:26">
      <c r="Y10236" s="1354"/>
      <c r="Z10236" s="1060"/>
    </row>
    <row r="10237" spans="25:26">
      <c r="Y10237" s="1354"/>
      <c r="Z10237" s="1060"/>
    </row>
    <row r="10238" spans="25:26">
      <c r="Y10238" s="1354"/>
      <c r="Z10238" s="1060"/>
    </row>
    <row r="10239" spans="25:26">
      <c r="Y10239" s="1354"/>
      <c r="Z10239" s="1060"/>
    </row>
    <row r="10240" spans="25:26">
      <c r="Y10240" s="1354"/>
      <c r="Z10240" s="1060"/>
    </row>
    <row r="10241" spans="25:26">
      <c r="Y10241" s="1354"/>
      <c r="Z10241" s="1060"/>
    </row>
    <row r="10242" spans="25:26">
      <c r="Y10242" s="1354"/>
      <c r="Z10242" s="1060"/>
    </row>
    <row r="10243" spans="25:26">
      <c r="Y10243" s="1354"/>
      <c r="Z10243" s="1060"/>
    </row>
    <row r="10244" spans="25:26">
      <c r="Y10244" s="1354"/>
      <c r="Z10244" s="1060"/>
    </row>
    <row r="10245" spans="25:26">
      <c r="Y10245" s="1354"/>
      <c r="Z10245" s="1060"/>
    </row>
    <row r="10246" spans="25:26">
      <c r="Y10246" s="1354"/>
      <c r="Z10246" s="1060"/>
    </row>
    <row r="10247" spans="25:26">
      <c r="Y10247" s="1354"/>
      <c r="Z10247" s="1060"/>
    </row>
    <row r="10248" spans="25:26">
      <c r="Y10248" s="1354"/>
      <c r="Z10248" s="1060"/>
    </row>
    <row r="10249" spans="25:26">
      <c r="Y10249" s="1354"/>
      <c r="Z10249" s="1060"/>
    </row>
    <row r="10250" spans="25:26">
      <c r="Y10250" s="1354"/>
      <c r="Z10250" s="1060"/>
    </row>
    <row r="10251" spans="25:26">
      <c r="Y10251" s="1354"/>
      <c r="Z10251" s="1060"/>
    </row>
    <row r="10252" spans="25:26">
      <c r="Y10252" s="1354"/>
      <c r="Z10252" s="1060"/>
    </row>
    <row r="10253" spans="25:26">
      <c r="Y10253" s="1354"/>
      <c r="Z10253" s="1060"/>
    </row>
    <row r="10254" spans="25:26">
      <c r="Y10254" s="1354"/>
      <c r="Z10254" s="1060"/>
    </row>
    <row r="10255" spans="25:26">
      <c r="Y10255" s="1354"/>
      <c r="Z10255" s="1060"/>
    </row>
    <row r="10256" spans="25:26">
      <c r="Y10256" s="1354"/>
      <c r="Z10256" s="1060"/>
    </row>
    <row r="10257" spans="25:26">
      <c r="Y10257" s="1354"/>
      <c r="Z10257" s="1060"/>
    </row>
    <row r="10258" spans="25:26">
      <c r="Y10258" s="1354"/>
      <c r="Z10258" s="1060"/>
    </row>
    <row r="10259" spans="25:26">
      <c r="Y10259" s="1354"/>
      <c r="Z10259" s="1060"/>
    </row>
    <row r="10260" spans="25:26">
      <c r="Y10260" s="1354"/>
      <c r="Z10260" s="1060"/>
    </row>
    <row r="10261" spans="25:26">
      <c r="Y10261" s="1354"/>
      <c r="Z10261" s="1060"/>
    </row>
    <row r="10262" spans="25:26">
      <c r="Y10262" s="1354"/>
      <c r="Z10262" s="1060"/>
    </row>
    <row r="10263" spans="25:26">
      <c r="Y10263" s="1354"/>
      <c r="Z10263" s="1060"/>
    </row>
    <row r="10264" spans="25:26">
      <c r="Y10264" s="1354"/>
      <c r="Z10264" s="1060"/>
    </row>
    <row r="10265" spans="25:26">
      <c r="Y10265" s="1354"/>
      <c r="Z10265" s="1060"/>
    </row>
    <row r="10266" spans="25:26">
      <c r="Y10266" s="1354"/>
      <c r="Z10266" s="1060"/>
    </row>
    <row r="10267" spans="25:26">
      <c r="Y10267" s="1354"/>
      <c r="Z10267" s="1060"/>
    </row>
    <row r="10268" spans="25:26">
      <c r="Y10268" s="1354"/>
      <c r="Z10268" s="1060"/>
    </row>
    <row r="10269" spans="25:26">
      <c r="Y10269" s="1354"/>
      <c r="Z10269" s="1060"/>
    </row>
    <row r="10270" spans="25:26">
      <c r="Y10270" s="1354"/>
      <c r="Z10270" s="1060"/>
    </row>
    <row r="10271" spans="25:26">
      <c r="Y10271" s="1354"/>
      <c r="Z10271" s="1060"/>
    </row>
    <row r="10272" spans="25:26">
      <c r="Y10272" s="1354"/>
      <c r="Z10272" s="1060"/>
    </row>
    <row r="10273" spans="25:26">
      <c r="Y10273" s="1354"/>
      <c r="Z10273" s="1060"/>
    </row>
    <row r="10274" spans="25:26">
      <c r="Y10274" s="1354"/>
      <c r="Z10274" s="1060"/>
    </row>
    <row r="10275" spans="25:26">
      <c r="Y10275" s="1354"/>
      <c r="Z10275" s="1060"/>
    </row>
    <row r="10276" spans="25:26">
      <c r="Y10276" s="1354"/>
      <c r="Z10276" s="1060"/>
    </row>
    <row r="10277" spans="25:26">
      <c r="Y10277" s="1354"/>
      <c r="Z10277" s="1060"/>
    </row>
    <row r="10278" spans="25:26">
      <c r="Y10278" s="1354"/>
      <c r="Z10278" s="1060"/>
    </row>
    <row r="10279" spans="25:26">
      <c r="Y10279" s="1354"/>
      <c r="Z10279" s="1060"/>
    </row>
    <row r="10280" spans="25:26">
      <c r="Y10280" s="1354"/>
      <c r="Z10280" s="1060"/>
    </row>
    <row r="10281" spans="25:26">
      <c r="Y10281" s="1354"/>
      <c r="Z10281" s="1060"/>
    </row>
    <row r="10282" spans="25:26">
      <c r="Y10282" s="1354"/>
      <c r="Z10282" s="1060"/>
    </row>
    <row r="10283" spans="25:26">
      <c r="Y10283" s="1354"/>
      <c r="Z10283" s="1060"/>
    </row>
    <row r="10284" spans="25:26">
      <c r="Y10284" s="1354"/>
      <c r="Z10284" s="1060"/>
    </row>
    <row r="10285" spans="25:26">
      <c r="Y10285" s="1354"/>
      <c r="Z10285" s="1060"/>
    </row>
    <row r="10286" spans="25:26">
      <c r="Y10286" s="1354"/>
      <c r="Z10286" s="1060"/>
    </row>
    <row r="10287" spans="25:26">
      <c r="Y10287" s="1354"/>
      <c r="Z10287" s="1060"/>
    </row>
    <row r="10288" spans="25:26">
      <c r="Y10288" s="1354"/>
      <c r="Z10288" s="1060"/>
    </row>
    <row r="10289" spans="25:26">
      <c r="Y10289" s="1354"/>
      <c r="Z10289" s="1060"/>
    </row>
    <row r="10290" spans="25:26">
      <c r="Y10290" s="1354"/>
      <c r="Z10290" s="1060"/>
    </row>
    <row r="10291" spans="25:26">
      <c r="Y10291" s="1354"/>
      <c r="Z10291" s="1060"/>
    </row>
    <row r="10292" spans="25:26">
      <c r="Y10292" s="1354"/>
      <c r="Z10292" s="1060"/>
    </row>
    <row r="10293" spans="25:26">
      <c r="Y10293" s="1354"/>
      <c r="Z10293" s="1060"/>
    </row>
    <row r="10294" spans="25:26">
      <c r="Y10294" s="1354"/>
      <c r="Z10294" s="1060"/>
    </row>
    <row r="10295" spans="25:26">
      <c r="Y10295" s="1354"/>
      <c r="Z10295" s="1060"/>
    </row>
    <row r="10296" spans="25:26">
      <c r="Y10296" s="1354"/>
      <c r="Z10296" s="1060"/>
    </row>
    <row r="10297" spans="25:26">
      <c r="Y10297" s="1354"/>
      <c r="Z10297" s="1060"/>
    </row>
    <row r="10298" spans="25:26">
      <c r="Y10298" s="1354"/>
      <c r="Z10298" s="1060"/>
    </row>
    <row r="10299" spans="25:26">
      <c r="Y10299" s="1354"/>
      <c r="Z10299" s="1060"/>
    </row>
    <row r="10300" spans="25:26">
      <c r="Y10300" s="1354"/>
      <c r="Z10300" s="1060"/>
    </row>
    <row r="10301" spans="25:26">
      <c r="Y10301" s="1354"/>
      <c r="Z10301" s="1060"/>
    </row>
    <row r="10302" spans="25:26">
      <c r="Y10302" s="1354"/>
      <c r="Z10302" s="1060"/>
    </row>
    <row r="10303" spans="25:26">
      <c r="Y10303" s="1354"/>
      <c r="Z10303" s="1060"/>
    </row>
    <row r="10304" spans="25:26">
      <c r="Y10304" s="1354"/>
      <c r="Z10304" s="1060"/>
    </row>
    <row r="10305" spans="25:26">
      <c r="Y10305" s="1354"/>
      <c r="Z10305" s="1060"/>
    </row>
    <row r="10306" spans="25:26">
      <c r="Y10306" s="1354"/>
      <c r="Z10306" s="1060"/>
    </row>
    <row r="10307" spans="25:26">
      <c r="Y10307" s="1354"/>
      <c r="Z10307" s="1060"/>
    </row>
    <row r="10308" spans="25:26">
      <c r="Y10308" s="1354"/>
      <c r="Z10308" s="1060"/>
    </row>
    <row r="10309" spans="25:26">
      <c r="Y10309" s="1354"/>
      <c r="Z10309" s="1060"/>
    </row>
    <row r="10310" spans="25:26">
      <c r="Y10310" s="1354"/>
      <c r="Z10310" s="1060"/>
    </row>
    <row r="10311" spans="25:26">
      <c r="Y10311" s="1354"/>
      <c r="Z10311" s="1060"/>
    </row>
    <row r="10312" spans="25:26">
      <c r="Y10312" s="1354"/>
      <c r="Z10312" s="1060"/>
    </row>
    <row r="10313" spans="25:26">
      <c r="Y10313" s="1354"/>
      <c r="Z10313" s="1060"/>
    </row>
    <row r="10314" spans="25:26">
      <c r="Y10314" s="1354"/>
      <c r="Z10314" s="1060"/>
    </row>
    <row r="10315" spans="25:26">
      <c r="Y10315" s="1354"/>
      <c r="Z10315" s="1060"/>
    </row>
    <row r="10316" spans="25:26">
      <c r="Y10316" s="1354"/>
      <c r="Z10316" s="1060"/>
    </row>
    <row r="10317" spans="25:26">
      <c r="Y10317" s="1354"/>
      <c r="Z10317" s="1060"/>
    </row>
    <row r="10318" spans="25:26">
      <c r="Y10318" s="1354"/>
      <c r="Z10318" s="1060"/>
    </row>
    <row r="10319" spans="25:26">
      <c r="Y10319" s="1354"/>
      <c r="Z10319" s="1060"/>
    </row>
    <row r="10320" spans="25:26">
      <c r="Y10320" s="1354"/>
      <c r="Z10320" s="1060"/>
    </row>
    <row r="10321" spans="25:26">
      <c r="Y10321" s="1354"/>
      <c r="Z10321" s="1060"/>
    </row>
    <row r="10322" spans="25:26">
      <c r="Y10322" s="1354"/>
      <c r="Z10322" s="1060"/>
    </row>
    <row r="10323" spans="25:26">
      <c r="Y10323" s="1354"/>
      <c r="Z10323" s="1060"/>
    </row>
    <row r="10324" spans="25:26">
      <c r="Y10324" s="1354"/>
      <c r="Z10324" s="1060"/>
    </row>
    <row r="10325" spans="25:26">
      <c r="Y10325" s="1354"/>
      <c r="Z10325" s="1060"/>
    </row>
    <row r="10326" spans="25:26">
      <c r="Y10326" s="1354"/>
      <c r="Z10326" s="1060"/>
    </row>
    <row r="10327" spans="25:26">
      <c r="Y10327" s="1354"/>
      <c r="Z10327" s="1060"/>
    </row>
    <row r="10328" spans="25:26">
      <c r="Y10328" s="1354"/>
      <c r="Z10328" s="1060"/>
    </row>
    <row r="10329" spans="25:26">
      <c r="Y10329" s="1354"/>
      <c r="Z10329" s="1060"/>
    </row>
    <row r="10330" spans="25:26">
      <c r="Y10330" s="1354"/>
      <c r="Z10330" s="1060"/>
    </row>
    <row r="10331" spans="25:26">
      <c r="Y10331" s="1354"/>
      <c r="Z10331" s="1060"/>
    </row>
    <row r="10332" spans="25:26">
      <c r="Y10332" s="1354"/>
      <c r="Z10332" s="1060"/>
    </row>
    <row r="10333" spans="25:26">
      <c r="Y10333" s="1354"/>
      <c r="Z10333" s="1060"/>
    </row>
    <row r="10334" spans="25:26">
      <c r="Y10334" s="1354"/>
      <c r="Z10334" s="1060"/>
    </row>
    <row r="10335" spans="25:26">
      <c r="Y10335" s="1354"/>
      <c r="Z10335" s="1060"/>
    </row>
    <row r="10336" spans="25:26">
      <c r="Y10336" s="1354"/>
      <c r="Z10336" s="1060"/>
    </row>
    <row r="10337" spans="25:26">
      <c r="Y10337" s="1354"/>
      <c r="Z10337" s="1060"/>
    </row>
    <row r="10338" spans="25:26">
      <c r="Y10338" s="1354"/>
      <c r="Z10338" s="1060"/>
    </row>
    <row r="10339" spans="25:26">
      <c r="Y10339" s="1354"/>
      <c r="Z10339" s="1060"/>
    </row>
    <row r="10340" spans="25:26">
      <c r="Y10340" s="1354"/>
      <c r="Z10340" s="1060"/>
    </row>
    <row r="10341" spans="25:26">
      <c r="Y10341" s="1354"/>
      <c r="Z10341" s="1060"/>
    </row>
    <row r="10342" spans="25:26">
      <c r="Y10342" s="1354"/>
      <c r="Z10342" s="1060"/>
    </row>
    <row r="10343" spans="25:26">
      <c r="Y10343" s="1354"/>
      <c r="Z10343" s="1060"/>
    </row>
    <row r="10344" spans="25:26">
      <c r="Y10344" s="1354"/>
      <c r="Z10344" s="1060"/>
    </row>
    <row r="10345" spans="25:26">
      <c r="Y10345" s="1354"/>
      <c r="Z10345" s="1060"/>
    </row>
    <row r="10346" spans="25:26">
      <c r="Y10346" s="1354"/>
      <c r="Z10346" s="1060"/>
    </row>
    <row r="10347" spans="25:26">
      <c r="Y10347" s="1354"/>
      <c r="Z10347" s="1060"/>
    </row>
    <row r="10348" spans="25:26">
      <c r="Y10348" s="1354"/>
      <c r="Z10348" s="1060"/>
    </row>
    <row r="10349" spans="25:26">
      <c r="Y10349" s="1354"/>
      <c r="Z10349" s="1060"/>
    </row>
    <row r="10350" spans="25:26">
      <c r="Y10350" s="1354"/>
      <c r="Z10350" s="1060"/>
    </row>
    <row r="10351" spans="25:26">
      <c r="Y10351" s="1354"/>
      <c r="Z10351" s="1060"/>
    </row>
    <row r="10352" spans="25:26">
      <c r="Y10352" s="1354"/>
      <c r="Z10352" s="1060"/>
    </row>
    <row r="10353" spans="25:26">
      <c r="Y10353" s="1354"/>
      <c r="Z10353" s="1060"/>
    </row>
    <row r="10354" spans="25:26">
      <c r="Y10354" s="1354"/>
      <c r="Z10354" s="1060"/>
    </row>
    <row r="10355" spans="25:26">
      <c r="Y10355" s="1354"/>
      <c r="Z10355" s="1060"/>
    </row>
    <row r="10356" spans="25:26">
      <c r="Y10356" s="1354"/>
      <c r="Z10356" s="1060"/>
    </row>
    <row r="10357" spans="25:26">
      <c r="Y10357" s="1354"/>
      <c r="Z10357" s="1060"/>
    </row>
    <row r="10358" spans="25:26">
      <c r="Y10358" s="1354"/>
      <c r="Z10358" s="1060"/>
    </row>
    <row r="10359" spans="25:26">
      <c r="Y10359" s="1354"/>
      <c r="Z10359" s="1060"/>
    </row>
    <row r="10360" spans="25:26">
      <c r="Y10360" s="1354"/>
      <c r="Z10360" s="1060"/>
    </row>
    <row r="10361" spans="25:26">
      <c r="Y10361" s="1354"/>
      <c r="Z10361" s="1060"/>
    </row>
    <row r="10362" spans="25:26">
      <c r="Y10362" s="1354"/>
      <c r="Z10362" s="1060"/>
    </row>
    <row r="10363" spans="25:26">
      <c r="Y10363" s="1354"/>
      <c r="Z10363" s="1060"/>
    </row>
    <row r="10364" spans="25:26">
      <c r="Y10364" s="1354"/>
      <c r="Z10364" s="1060"/>
    </row>
    <row r="10365" spans="25:26">
      <c r="Y10365" s="1354"/>
      <c r="Z10365" s="1060"/>
    </row>
    <row r="10366" spans="25:26">
      <c r="Y10366" s="1354"/>
      <c r="Z10366" s="1060"/>
    </row>
    <row r="10367" spans="25:26">
      <c r="Y10367" s="1354"/>
      <c r="Z10367" s="1060"/>
    </row>
    <row r="10368" spans="25:26">
      <c r="Y10368" s="1354"/>
      <c r="Z10368" s="1060"/>
    </row>
    <row r="10369" spans="25:26">
      <c r="Y10369" s="1354"/>
      <c r="Z10369" s="1060"/>
    </row>
    <row r="10370" spans="25:26">
      <c r="Y10370" s="1354"/>
      <c r="Z10370" s="1060"/>
    </row>
    <row r="10371" spans="25:26">
      <c r="Y10371" s="1354"/>
      <c r="Z10371" s="1060"/>
    </row>
    <row r="10372" spans="25:26">
      <c r="Y10372" s="1354"/>
      <c r="Z10372" s="1060"/>
    </row>
    <row r="10373" spans="25:26">
      <c r="Y10373" s="1354"/>
      <c r="Z10373" s="1060"/>
    </row>
    <row r="10374" spans="25:26">
      <c r="Y10374" s="1354"/>
      <c r="Z10374" s="1060"/>
    </row>
    <row r="10375" spans="25:26">
      <c r="Y10375" s="1354"/>
      <c r="Z10375" s="1060"/>
    </row>
    <row r="10376" spans="25:26">
      <c r="Y10376" s="1354"/>
      <c r="Z10376" s="1060"/>
    </row>
    <row r="10377" spans="25:26">
      <c r="Y10377" s="1354"/>
      <c r="Z10377" s="1060"/>
    </row>
    <row r="10378" spans="25:26">
      <c r="Y10378" s="1354"/>
      <c r="Z10378" s="1060"/>
    </row>
    <row r="10379" spans="25:26">
      <c r="Y10379" s="1354"/>
      <c r="Z10379" s="1060"/>
    </row>
    <row r="10380" spans="25:26">
      <c r="Y10380" s="1354"/>
      <c r="Z10380" s="1060"/>
    </row>
    <row r="10381" spans="25:26">
      <c r="Y10381" s="1354"/>
      <c r="Z10381" s="1060"/>
    </row>
    <row r="10382" spans="25:26">
      <c r="Y10382" s="1354"/>
      <c r="Z10382" s="1060"/>
    </row>
    <row r="10383" spans="25:26">
      <c r="Y10383" s="1354"/>
      <c r="Z10383" s="1060"/>
    </row>
    <row r="10384" spans="25:26">
      <c r="Y10384" s="1354"/>
      <c r="Z10384" s="1060"/>
    </row>
    <row r="10385" spans="25:26">
      <c r="Y10385" s="1354"/>
      <c r="Z10385" s="1060"/>
    </row>
    <row r="10386" spans="25:26">
      <c r="Y10386" s="1354"/>
      <c r="Z10386" s="1060"/>
    </row>
    <row r="10387" spans="25:26">
      <c r="Y10387" s="1354"/>
      <c r="Z10387" s="1060"/>
    </row>
    <row r="10388" spans="25:26">
      <c r="Y10388" s="1354"/>
      <c r="Z10388" s="1060"/>
    </row>
    <row r="10389" spans="25:26">
      <c r="Y10389" s="1354"/>
      <c r="Z10389" s="1060"/>
    </row>
    <row r="10390" spans="25:26">
      <c r="Y10390" s="1354"/>
      <c r="Z10390" s="1060"/>
    </row>
    <row r="10391" spans="25:26">
      <c r="Y10391" s="1354"/>
      <c r="Z10391" s="1060"/>
    </row>
    <row r="10392" spans="25:26">
      <c r="Y10392" s="1354"/>
      <c r="Z10392" s="1060"/>
    </row>
    <row r="10393" spans="25:26">
      <c r="Y10393" s="1354"/>
      <c r="Z10393" s="1060"/>
    </row>
    <row r="10394" spans="25:26">
      <c r="Y10394" s="1354"/>
      <c r="Z10394" s="1060"/>
    </row>
    <row r="10395" spans="25:26">
      <c r="Y10395" s="1354"/>
      <c r="Z10395" s="1060"/>
    </row>
    <row r="10396" spans="25:26">
      <c r="Y10396" s="1354"/>
      <c r="Z10396" s="1060"/>
    </row>
    <row r="10397" spans="25:26">
      <c r="Y10397" s="1354"/>
      <c r="Z10397" s="1060"/>
    </row>
    <row r="10398" spans="25:26">
      <c r="Y10398" s="1354"/>
      <c r="Z10398" s="1060"/>
    </row>
    <row r="10399" spans="25:26">
      <c r="Y10399" s="1354"/>
      <c r="Z10399" s="1060"/>
    </row>
    <row r="10400" spans="25:26">
      <c r="Y10400" s="1354"/>
      <c r="Z10400" s="1060"/>
    </row>
    <row r="10401" spans="25:26">
      <c r="Y10401" s="1354"/>
      <c r="Z10401" s="1060"/>
    </row>
    <row r="10402" spans="25:26">
      <c r="Y10402" s="1354"/>
      <c r="Z10402" s="1060"/>
    </row>
    <row r="10403" spans="25:26">
      <c r="Y10403" s="1354"/>
      <c r="Z10403" s="1060"/>
    </row>
    <row r="10404" spans="25:26">
      <c r="Y10404" s="1354"/>
      <c r="Z10404" s="1060"/>
    </row>
    <row r="10405" spans="25:26">
      <c r="Y10405" s="1354"/>
      <c r="Z10405" s="1060"/>
    </row>
    <row r="10406" spans="25:26">
      <c r="Y10406" s="1354"/>
      <c r="Z10406" s="1060"/>
    </row>
    <row r="10407" spans="25:26">
      <c r="Y10407" s="1354"/>
      <c r="Z10407" s="1060"/>
    </row>
    <row r="10408" spans="25:26">
      <c r="Y10408" s="1354"/>
      <c r="Z10408" s="1060"/>
    </row>
    <row r="10409" spans="25:26">
      <c r="Y10409" s="1354"/>
      <c r="Z10409" s="1060"/>
    </row>
    <row r="10410" spans="25:26">
      <c r="Y10410" s="1354"/>
      <c r="Z10410" s="1060"/>
    </row>
    <row r="10411" spans="25:26">
      <c r="Y10411" s="1354"/>
      <c r="Z10411" s="1060"/>
    </row>
    <row r="10412" spans="25:26">
      <c r="Y10412" s="1354"/>
      <c r="Z10412" s="1060"/>
    </row>
    <row r="10413" spans="25:26">
      <c r="Y10413" s="1354"/>
      <c r="Z10413" s="1060"/>
    </row>
    <row r="10414" spans="25:26">
      <c r="Y10414" s="1354"/>
      <c r="Z10414" s="1060"/>
    </row>
    <row r="10415" spans="25:26">
      <c r="Y10415" s="1354"/>
      <c r="Z10415" s="1060"/>
    </row>
    <row r="10416" spans="25:26">
      <c r="Y10416" s="1354"/>
      <c r="Z10416" s="1060"/>
    </row>
    <row r="10417" spans="25:26">
      <c r="Y10417" s="1354"/>
      <c r="Z10417" s="1060"/>
    </row>
    <row r="10418" spans="25:26">
      <c r="Y10418" s="1354"/>
      <c r="Z10418" s="1060"/>
    </row>
    <row r="10419" spans="25:26">
      <c r="Y10419" s="1354"/>
      <c r="Z10419" s="1060"/>
    </row>
    <row r="10420" spans="25:26">
      <c r="Y10420" s="1354"/>
      <c r="Z10420" s="1060"/>
    </row>
    <row r="10421" spans="25:26">
      <c r="Y10421" s="1354"/>
      <c r="Z10421" s="1060"/>
    </row>
    <row r="10422" spans="25:26">
      <c r="Y10422" s="1354"/>
      <c r="Z10422" s="1060"/>
    </row>
    <row r="10423" spans="25:26">
      <c r="Y10423" s="1354"/>
      <c r="Z10423" s="1060"/>
    </row>
    <row r="10424" spans="25:26">
      <c r="Y10424" s="1354"/>
      <c r="Z10424" s="1060"/>
    </row>
    <row r="10425" spans="25:26">
      <c r="Y10425" s="1354"/>
      <c r="Z10425" s="1060"/>
    </row>
    <row r="10426" spans="25:26">
      <c r="Y10426" s="1354"/>
      <c r="Z10426" s="1060"/>
    </row>
    <row r="10427" spans="25:26">
      <c r="Y10427" s="1354"/>
      <c r="Z10427" s="1060"/>
    </row>
    <row r="10428" spans="25:26">
      <c r="Y10428" s="1354"/>
      <c r="Z10428" s="1060"/>
    </row>
    <row r="10429" spans="25:26">
      <c r="Y10429" s="1354"/>
      <c r="Z10429" s="1060"/>
    </row>
    <row r="10430" spans="25:26">
      <c r="Y10430" s="1354"/>
      <c r="Z10430" s="1060"/>
    </row>
    <row r="10431" spans="25:26">
      <c r="Y10431" s="1354"/>
      <c r="Z10431" s="1060"/>
    </row>
    <row r="10432" spans="25:26">
      <c r="Y10432" s="1354"/>
      <c r="Z10432" s="1060"/>
    </row>
    <row r="10433" spans="25:26">
      <c r="Y10433" s="1354"/>
      <c r="Z10433" s="1060"/>
    </row>
    <row r="10434" spans="25:26">
      <c r="Y10434" s="1354"/>
      <c r="Z10434" s="1060"/>
    </row>
    <row r="10435" spans="25:26">
      <c r="Y10435" s="1354"/>
      <c r="Z10435" s="1060"/>
    </row>
    <row r="10436" spans="25:26">
      <c r="Y10436" s="1354"/>
      <c r="Z10436" s="1060"/>
    </row>
    <row r="10437" spans="25:26">
      <c r="Y10437" s="1354"/>
      <c r="Z10437" s="1060"/>
    </row>
    <row r="10438" spans="25:26">
      <c r="Y10438" s="1354"/>
      <c r="Z10438" s="1060"/>
    </row>
    <row r="10439" spans="25:26">
      <c r="Y10439" s="1354"/>
      <c r="Z10439" s="1060"/>
    </row>
    <row r="10440" spans="25:26">
      <c r="Y10440" s="1354"/>
      <c r="Z10440" s="1060"/>
    </row>
    <row r="10441" spans="25:26">
      <c r="Y10441" s="1354"/>
      <c r="Z10441" s="1060"/>
    </row>
    <row r="10442" spans="25:26">
      <c r="Y10442" s="1354"/>
      <c r="Z10442" s="1060"/>
    </row>
    <row r="10443" spans="25:26">
      <c r="Y10443" s="1354"/>
      <c r="Z10443" s="1060"/>
    </row>
    <row r="10444" spans="25:26">
      <c r="Y10444" s="1354"/>
      <c r="Z10444" s="1060"/>
    </row>
    <row r="10445" spans="25:26">
      <c r="Y10445" s="1354"/>
      <c r="Z10445" s="1060"/>
    </row>
    <row r="10446" spans="25:26">
      <c r="Y10446" s="1354"/>
      <c r="Z10446" s="1060"/>
    </row>
    <row r="10447" spans="25:26">
      <c r="Y10447" s="1354"/>
      <c r="Z10447" s="1060"/>
    </row>
    <row r="10448" spans="25:26">
      <c r="Y10448" s="1354"/>
      <c r="Z10448" s="1060"/>
    </row>
    <row r="10449" spans="25:26">
      <c r="Y10449" s="1354"/>
      <c r="Z10449" s="1060"/>
    </row>
    <row r="10450" spans="25:26">
      <c r="Y10450" s="1354"/>
      <c r="Z10450" s="1060"/>
    </row>
    <row r="10451" spans="25:26">
      <c r="Y10451" s="1354"/>
      <c r="Z10451" s="1060"/>
    </row>
    <row r="10452" spans="25:26">
      <c r="Y10452" s="1354"/>
      <c r="Z10452" s="1060"/>
    </row>
    <row r="10453" spans="25:26">
      <c r="Y10453" s="1354"/>
      <c r="Z10453" s="1060"/>
    </row>
    <row r="10454" spans="25:26">
      <c r="Y10454" s="1354"/>
      <c r="Z10454" s="1060"/>
    </row>
    <row r="10455" spans="25:26">
      <c r="Y10455" s="1354"/>
      <c r="Z10455" s="1060"/>
    </row>
    <row r="10456" spans="25:26">
      <c r="Y10456" s="1354"/>
      <c r="Z10456" s="1060"/>
    </row>
    <row r="10457" spans="25:26">
      <c r="Y10457" s="1354"/>
      <c r="Z10457" s="1060"/>
    </row>
    <row r="10458" spans="25:26">
      <c r="Y10458" s="1354"/>
      <c r="Z10458" s="1060"/>
    </row>
    <row r="10459" spans="25:26">
      <c r="Y10459" s="1354"/>
      <c r="Z10459" s="1060"/>
    </row>
    <row r="10460" spans="25:26">
      <c r="Y10460" s="1354"/>
      <c r="Z10460" s="1060"/>
    </row>
    <row r="10461" spans="25:26">
      <c r="Y10461" s="1354"/>
      <c r="Z10461" s="1060"/>
    </row>
    <row r="10462" spans="25:26">
      <c r="Y10462" s="1354"/>
      <c r="Z10462" s="1060"/>
    </row>
    <row r="10463" spans="25:26">
      <c r="Y10463" s="1354"/>
      <c r="Z10463" s="1060"/>
    </row>
    <row r="10464" spans="25:26">
      <c r="Y10464" s="1354"/>
      <c r="Z10464" s="1060"/>
    </row>
    <row r="10465" spans="25:26">
      <c r="Y10465" s="1354"/>
      <c r="Z10465" s="1060"/>
    </row>
    <row r="10466" spans="25:26">
      <c r="Y10466" s="1354"/>
      <c r="Z10466" s="1060"/>
    </row>
    <row r="10467" spans="25:26">
      <c r="Y10467" s="1354"/>
      <c r="Z10467" s="1060"/>
    </row>
    <row r="10468" spans="25:26">
      <c r="Y10468" s="1354"/>
      <c r="Z10468" s="1060"/>
    </row>
    <row r="10469" spans="25:26">
      <c r="Y10469" s="1354"/>
      <c r="Z10469" s="1060"/>
    </row>
    <row r="10470" spans="25:26">
      <c r="Y10470" s="1354"/>
      <c r="Z10470" s="1060"/>
    </row>
    <row r="10471" spans="25:26">
      <c r="Y10471" s="1354"/>
      <c r="Z10471" s="1060"/>
    </row>
    <row r="10472" spans="25:26">
      <c r="Y10472" s="1354"/>
      <c r="Z10472" s="1060"/>
    </row>
    <row r="10473" spans="25:26">
      <c r="Y10473" s="1354"/>
      <c r="Z10473" s="1060"/>
    </row>
    <row r="10474" spans="25:26">
      <c r="Y10474" s="1354"/>
      <c r="Z10474" s="1060"/>
    </row>
    <row r="10475" spans="25:26">
      <c r="Y10475" s="1354"/>
      <c r="Z10475" s="1060"/>
    </row>
    <row r="10476" spans="25:26">
      <c r="Y10476" s="1354"/>
      <c r="Z10476" s="1060"/>
    </row>
    <row r="10477" spans="25:26">
      <c r="Y10477" s="1354"/>
      <c r="Z10477" s="1060"/>
    </row>
    <row r="10478" spans="25:26">
      <c r="Y10478" s="1354"/>
      <c r="Z10478" s="1060"/>
    </row>
    <row r="10479" spans="25:26">
      <c r="Y10479" s="1354"/>
      <c r="Z10479" s="1060"/>
    </row>
    <row r="10480" spans="25:26">
      <c r="Y10480" s="1354"/>
      <c r="Z10480" s="1060"/>
    </row>
    <row r="10481" spans="25:26">
      <c r="Y10481" s="1354"/>
      <c r="Z10481" s="1060"/>
    </row>
    <row r="10482" spans="25:26">
      <c r="Y10482" s="1354"/>
      <c r="Z10482" s="1060"/>
    </row>
    <row r="10483" spans="25:26">
      <c r="Y10483" s="1354"/>
      <c r="Z10483" s="1060"/>
    </row>
    <row r="10484" spans="25:26">
      <c r="Y10484" s="1354"/>
      <c r="Z10484" s="1060"/>
    </row>
    <row r="10485" spans="25:26">
      <c r="Y10485" s="1354"/>
      <c r="Z10485" s="1060"/>
    </row>
    <row r="10486" spans="25:26">
      <c r="Y10486" s="1354"/>
      <c r="Z10486" s="1060"/>
    </row>
    <row r="10487" spans="25:26">
      <c r="Y10487" s="1354"/>
      <c r="Z10487" s="1060"/>
    </row>
    <row r="10488" spans="25:26">
      <c r="Y10488" s="1354"/>
      <c r="Z10488" s="1060"/>
    </row>
    <row r="10489" spans="25:26">
      <c r="Y10489" s="1354"/>
      <c r="Z10489" s="1060"/>
    </row>
    <row r="10490" spans="25:26">
      <c r="Y10490" s="1354"/>
      <c r="Z10490" s="1060"/>
    </row>
    <row r="10491" spans="25:26">
      <c r="Y10491" s="1354"/>
      <c r="Z10491" s="1060"/>
    </row>
    <row r="10492" spans="25:26">
      <c r="Y10492" s="1354"/>
      <c r="Z10492" s="1060"/>
    </row>
    <row r="10493" spans="25:26">
      <c r="Y10493" s="1354"/>
      <c r="Z10493" s="1060"/>
    </row>
    <row r="10494" spans="25:26">
      <c r="Y10494" s="1354"/>
      <c r="Z10494" s="1060"/>
    </row>
    <row r="10495" spans="25:26">
      <c r="Y10495" s="1354"/>
      <c r="Z10495" s="1060"/>
    </row>
    <row r="10496" spans="25:26">
      <c r="Y10496" s="1354"/>
      <c r="Z10496" s="1060"/>
    </row>
    <row r="10497" spans="25:26">
      <c r="Y10497" s="1354"/>
      <c r="Z10497" s="1060"/>
    </row>
    <row r="10498" spans="25:26">
      <c r="Y10498" s="1354"/>
      <c r="Z10498" s="1060"/>
    </row>
    <row r="10499" spans="25:26">
      <c r="Y10499" s="1354"/>
      <c r="Z10499" s="1060"/>
    </row>
    <row r="10500" spans="25:26">
      <c r="Y10500" s="1354"/>
      <c r="Z10500" s="1060"/>
    </row>
    <row r="10501" spans="25:26">
      <c r="Y10501" s="1354"/>
      <c r="Z10501" s="1060"/>
    </row>
    <row r="10502" spans="25:26">
      <c r="Y10502" s="1354"/>
      <c r="Z10502" s="1060"/>
    </row>
    <row r="10503" spans="25:26">
      <c r="Y10503" s="1354"/>
      <c r="Z10503" s="1060"/>
    </row>
    <row r="10504" spans="25:26">
      <c r="Y10504" s="1354"/>
      <c r="Z10504" s="1060"/>
    </row>
    <row r="10505" spans="25:26">
      <c r="Y10505" s="1354"/>
      <c r="Z10505" s="1060"/>
    </row>
    <row r="10506" spans="25:26">
      <c r="Y10506" s="1354"/>
      <c r="Z10506" s="1060"/>
    </row>
    <row r="10507" spans="25:26">
      <c r="Y10507" s="1354"/>
      <c r="Z10507" s="1060"/>
    </row>
    <row r="10508" spans="25:26">
      <c r="Y10508" s="1354"/>
      <c r="Z10508" s="1060"/>
    </row>
    <row r="10509" spans="25:26">
      <c r="Y10509" s="1354"/>
      <c r="Z10509" s="1060"/>
    </row>
    <row r="10510" spans="25:26">
      <c r="Y10510" s="1354"/>
      <c r="Z10510" s="1060"/>
    </row>
    <row r="10511" spans="25:26">
      <c r="Y10511" s="1354"/>
      <c r="Z10511" s="1060"/>
    </row>
    <row r="10512" spans="25:26">
      <c r="Y10512" s="1354"/>
      <c r="Z10512" s="1060"/>
    </row>
    <row r="10513" spans="25:26">
      <c r="Y10513" s="1354"/>
      <c r="Z10513" s="1060"/>
    </row>
    <row r="10514" spans="25:26">
      <c r="Y10514" s="1354"/>
      <c r="Z10514" s="1060"/>
    </row>
    <row r="10515" spans="25:26">
      <c r="Y10515" s="1354"/>
      <c r="Z10515" s="1060"/>
    </row>
    <row r="10516" spans="25:26">
      <c r="Y10516" s="1354"/>
      <c r="Z10516" s="1060"/>
    </row>
    <row r="10517" spans="25:26">
      <c r="Y10517" s="1354"/>
      <c r="Z10517" s="1060"/>
    </row>
    <row r="10518" spans="25:26">
      <c r="Y10518" s="1354"/>
      <c r="Z10518" s="1060"/>
    </row>
    <row r="10519" spans="25:26">
      <c r="Y10519" s="1354"/>
      <c r="Z10519" s="1060"/>
    </row>
    <row r="10520" spans="25:26">
      <c r="Y10520" s="1354"/>
      <c r="Z10520" s="1060"/>
    </row>
    <row r="10521" spans="25:26">
      <c r="Y10521" s="1354"/>
      <c r="Z10521" s="1060"/>
    </row>
    <row r="10522" spans="25:26">
      <c r="Y10522" s="1354"/>
      <c r="Z10522" s="1060"/>
    </row>
    <row r="10523" spans="25:26">
      <c r="Y10523" s="1354"/>
      <c r="Z10523" s="1060"/>
    </row>
    <row r="10524" spans="25:26">
      <c r="Y10524" s="1354"/>
      <c r="Z10524" s="1060"/>
    </row>
    <row r="10525" spans="25:26">
      <c r="Y10525" s="1354"/>
      <c r="Z10525" s="1060"/>
    </row>
    <row r="10526" spans="25:26">
      <c r="Y10526" s="1354"/>
      <c r="Z10526" s="1060"/>
    </row>
    <row r="10527" spans="25:26">
      <c r="Y10527" s="1354"/>
      <c r="Z10527" s="1060"/>
    </row>
    <row r="10528" spans="25:26">
      <c r="Y10528" s="1354"/>
      <c r="Z10528" s="1060"/>
    </row>
    <row r="10529" spans="25:26">
      <c r="Y10529" s="1354"/>
      <c r="Z10529" s="1060"/>
    </row>
    <row r="10530" spans="25:26">
      <c r="Y10530" s="1354"/>
      <c r="Z10530" s="1060"/>
    </row>
    <row r="10531" spans="25:26">
      <c r="Y10531" s="1354"/>
      <c r="Z10531" s="1060"/>
    </row>
    <row r="10532" spans="25:26">
      <c r="Y10532" s="1354"/>
      <c r="Z10532" s="1060"/>
    </row>
    <row r="10533" spans="25:26">
      <c r="Y10533" s="1354"/>
      <c r="Z10533" s="1060"/>
    </row>
    <row r="10534" spans="25:26">
      <c r="Y10534" s="1354"/>
      <c r="Z10534" s="1060"/>
    </row>
    <row r="10535" spans="25:26">
      <c r="Y10535" s="1354"/>
      <c r="Z10535" s="1060"/>
    </row>
    <row r="10536" spans="25:26">
      <c r="Y10536" s="1354"/>
      <c r="Z10536" s="1060"/>
    </row>
    <row r="10537" spans="25:26">
      <c r="Y10537" s="1354"/>
      <c r="Z10537" s="1060"/>
    </row>
    <row r="10538" spans="25:26">
      <c r="Y10538" s="1354"/>
      <c r="Z10538" s="1060"/>
    </row>
    <row r="10539" spans="25:26">
      <c r="Y10539" s="1354"/>
      <c r="Z10539" s="1060"/>
    </row>
    <row r="10540" spans="25:26">
      <c r="Y10540" s="1354"/>
      <c r="Z10540" s="1060"/>
    </row>
    <row r="10541" spans="25:26">
      <c r="Y10541" s="1354"/>
      <c r="Z10541" s="1060"/>
    </row>
    <row r="10542" spans="25:26">
      <c r="Y10542" s="1354"/>
      <c r="Z10542" s="1060"/>
    </row>
    <row r="10543" spans="25:26">
      <c r="Y10543" s="1354"/>
      <c r="Z10543" s="1060"/>
    </row>
    <row r="10544" spans="25:26">
      <c r="Y10544" s="1354"/>
      <c r="Z10544" s="1060"/>
    </row>
    <row r="10545" spans="25:26">
      <c r="Y10545" s="1354"/>
      <c r="Z10545" s="1060"/>
    </row>
    <row r="10546" spans="25:26">
      <c r="Y10546" s="1354"/>
      <c r="Z10546" s="1060"/>
    </row>
    <row r="10547" spans="25:26">
      <c r="Y10547" s="1354"/>
      <c r="Z10547" s="1060"/>
    </row>
    <row r="10548" spans="25:26">
      <c r="Y10548" s="1354"/>
      <c r="Z10548" s="1060"/>
    </row>
    <row r="10549" spans="25:26">
      <c r="Y10549" s="1354"/>
      <c r="Z10549" s="1060"/>
    </row>
    <row r="10550" spans="25:26">
      <c r="Y10550" s="1354"/>
      <c r="Z10550" s="1060"/>
    </row>
    <row r="10551" spans="25:26">
      <c r="Y10551" s="1354"/>
      <c r="Z10551" s="1060"/>
    </row>
    <row r="10552" spans="25:26">
      <c r="Y10552" s="1354"/>
      <c r="Z10552" s="1060"/>
    </row>
    <row r="10553" spans="25:26">
      <c r="Y10553" s="1354"/>
      <c r="Z10553" s="1060"/>
    </row>
    <row r="10554" spans="25:26">
      <c r="Y10554" s="1354"/>
      <c r="Z10554" s="1060"/>
    </row>
    <row r="10555" spans="25:26">
      <c r="Y10555" s="1354"/>
      <c r="Z10555" s="1060"/>
    </row>
    <row r="10556" spans="25:26">
      <c r="Y10556" s="1354"/>
      <c r="Z10556" s="1060"/>
    </row>
    <row r="10557" spans="25:26">
      <c r="Y10557" s="1354"/>
      <c r="Z10557" s="1060"/>
    </row>
    <row r="10558" spans="25:26">
      <c r="Y10558" s="1354"/>
      <c r="Z10558" s="1060"/>
    </row>
    <row r="10559" spans="25:26">
      <c r="Y10559" s="1354"/>
      <c r="Z10559" s="1060"/>
    </row>
    <row r="10560" spans="25:26">
      <c r="Y10560" s="1354"/>
      <c r="Z10560" s="1060"/>
    </row>
    <row r="10561" spans="25:26">
      <c r="Y10561" s="1354"/>
      <c r="Z10561" s="1060"/>
    </row>
    <row r="10562" spans="25:26">
      <c r="Y10562" s="1354"/>
      <c r="Z10562" s="1060"/>
    </row>
    <row r="10563" spans="25:26">
      <c r="Y10563" s="1354"/>
      <c r="Z10563" s="1060"/>
    </row>
    <row r="10564" spans="25:26">
      <c r="Y10564" s="1354"/>
      <c r="Z10564" s="1060"/>
    </row>
    <row r="10565" spans="25:26">
      <c r="Y10565" s="1354"/>
      <c r="Z10565" s="1060"/>
    </row>
    <row r="10566" spans="25:26">
      <c r="Y10566" s="1354"/>
      <c r="Z10566" s="1060"/>
    </row>
    <row r="10567" spans="25:26">
      <c r="Y10567" s="1354"/>
      <c r="Z10567" s="1060"/>
    </row>
    <row r="10568" spans="25:26">
      <c r="Y10568" s="1354"/>
      <c r="Z10568" s="1060"/>
    </row>
    <row r="10569" spans="25:26">
      <c r="Y10569" s="1354"/>
      <c r="Z10569" s="1060"/>
    </row>
    <row r="10570" spans="25:26">
      <c r="Y10570" s="1354"/>
      <c r="Z10570" s="1060"/>
    </row>
    <row r="10571" spans="25:26">
      <c r="Y10571" s="1354"/>
      <c r="Z10571" s="1060"/>
    </row>
    <row r="10572" spans="25:26">
      <c r="Y10572" s="1354"/>
      <c r="Z10572" s="1060"/>
    </row>
    <row r="10573" spans="25:26">
      <c r="Y10573" s="1354"/>
      <c r="Z10573" s="1060"/>
    </row>
    <row r="10574" spans="25:26">
      <c r="Y10574" s="1354"/>
      <c r="Z10574" s="1060"/>
    </row>
    <row r="10575" spans="25:26">
      <c r="Y10575" s="1354"/>
      <c r="Z10575" s="1060"/>
    </row>
    <row r="10576" spans="25:26">
      <c r="Y10576" s="1354"/>
      <c r="Z10576" s="1060"/>
    </row>
    <row r="10577" spans="25:26">
      <c r="Y10577" s="1354"/>
      <c r="Z10577" s="1060"/>
    </row>
    <row r="10578" spans="25:26">
      <c r="Y10578" s="1354"/>
      <c r="Z10578" s="1060"/>
    </row>
    <row r="10579" spans="25:26">
      <c r="Y10579" s="1354"/>
      <c r="Z10579" s="1060"/>
    </row>
    <row r="10580" spans="25:26">
      <c r="Y10580" s="1354"/>
      <c r="Z10580" s="1060"/>
    </row>
    <row r="10581" spans="25:26">
      <c r="Y10581" s="1354"/>
      <c r="Z10581" s="1060"/>
    </row>
    <row r="10582" spans="25:26">
      <c r="Y10582" s="1354"/>
      <c r="Z10582" s="1060"/>
    </row>
    <row r="10583" spans="25:26">
      <c r="Y10583" s="1354"/>
      <c r="Z10583" s="1060"/>
    </row>
    <row r="10584" spans="25:26">
      <c r="Y10584" s="1354"/>
      <c r="Z10584" s="1060"/>
    </row>
    <row r="10585" spans="25:26">
      <c r="Y10585" s="1354"/>
      <c r="Z10585" s="1060"/>
    </row>
    <row r="10586" spans="25:26">
      <c r="Y10586" s="1354"/>
      <c r="Z10586" s="1060"/>
    </row>
    <row r="10587" spans="25:26">
      <c r="Y10587" s="1354"/>
      <c r="Z10587" s="1060"/>
    </row>
    <row r="10588" spans="25:26">
      <c r="Y10588" s="1354"/>
      <c r="Z10588" s="1060"/>
    </row>
    <row r="10589" spans="25:26">
      <c r="Y10589" s="1354"/>
      <c r="Z10589" s="1060"/>
    </row>
    <row r="10590" spans="25:26">
      <c r="Y10590" s="1354"/>
      <c r="Z10590" s="1060"/>
    </row>
    <row r="10591" spans="25:26">
      <c r="Y10591" s="1354"/>
      <c r="Z10591" s="1060"/>
    </row>
    <row r="10592" spans="25:26">
      <c r="Y10592" s="1354"/>
      <c r="Z10592" s="1060"/>
    </row>
    <row r="10593" spans="25:26">
      <c r="Y10593" s="1354"/>
      <c r="Z10593" s="1060"/>
    </row>
    <row r="10594" spans="25:26">
      <c r="Y10594" s="1354"/>
      <c r="Z10594" s="1060"/>
    </row>
    <row r="10595" spans="25:26">
      <c r="Y10595" s="1354"/>
      <c r="Z10595" s="1060"/>
    </row>
    <row r="10596" spans="25:26">
      <c r="Y10596" s="1354"/>
      <c r="Z10596" s="1060"/>
    </row>
    <row r="10597" spans="25:26">
      <c r="Y10597" s="1354"/>
      <c r="Z10597" s="1060"/>
    </row>
    <row r="10598" spans="25:26">
      <c r="Y10598" s="1354"/>
      <c r="Z10598" s="1060"/>
    </row>
    <row r="10599" spans="25:26">
      <c r="Y10599" s="1354"/>
      <c r="Z10599" s="1060"/>
    </row>
    <row r="10600" spans="25:26">
      <c r="Y10600" s="1354"/>
      <c r="Z10600" s="1060"/>
    </row>
    <row r="10601" spans="25:26">
      <c r="Y10601" s="1354"/>
      <c r="Z10601" s="1060"/>
    </row>
    <row r="10602" spans="25:26">
      <c r="Y10602" s="1354"/>
      <c r="Z10602" s="1060"/>
    </row>
    <row r="10603" spans="25:26">
      <c r="Y10603" s="1354"/>
      <c r="Z10603" s="1060"/>
    </row>
    <row r="10604" spans="25:26">
      <c r="Y10604" s="1354"/>
      <c r="Z10604" s="1060"/>
    </row>
    <row r="10605" spans="25:26">
      <c r="Y10605" s="1354"/>
      <c r="Z10605" s="1060"/>
    </row>
    <row r="10606" spans="25:26">
      <c r="Y10606" s="1354"/>
      <c r="Z10606" s="1060"/>
    </row>
    <row r="10607" spans="25:26">
      <c r="Y10607" s="1354"/>
      <c r="Z10607" s="1060"/>
    </row>
    <row r="10608" spans="25:26">
      <c r="Y10608" s="1354"/>
      <c r="Z10608" s="1060"/>
    </row>
    <row r="10609" spans="25:26">
      <c r="Y10609" s="1354"/>
      <c r="Z10609" s="1060"/>
    </row>
    <row r="10610" spans="25:26">
      <c r="Y10610" s="1354"/>
      <c r="Z10610" s="1060"/>
    </row>
    <row r="10611" spans="25:26">
      <c r="Y10611" s="1354"/>
      <c r="Z10611" s="1060"/>
    </row>
    <row r="10612" spans="25:26">
      <c r="Y10612" s="1354"/>
      <c r="Z10612" s="1060"/>
    </row>
    <row r="10613" spans="25:26">
      <c r="Y10613" s="1354"/>
      <c r="Z10613" s="1060"/>
    </row>
    <row r="10614" spans="25:26">
      <c r="Y10614" s="1354"/>
      <c r="Z10614" s="1060"/>
    </row>
    <row r="10615" spans="25:26">
      <c r="Y10615" s="1354"/>
      <c r="Z10615" s="1060"/>
    </row>
    <row r="10616" spans="25:26">
      <c r="Y10616" s="1354"/>
      <c r="Z10616" s="1060"/>
    </row>
    <row r="10617" spans="25:26">
      <c r="Y10617" s="1354"/>
      <c r="Z10617" s="1060"/>
    </row>
    <row r="10618" spans="25:26">
      <c r="Y10618" s="1354"/>
      <c r="Z10618" s="1060"/>
    </row>
    <row r="10619" spans="25:26">
      <c r="Y10619" s="1354"/>
      <c r="Z10619" s="1060"/>
    </row>
    <row r="10620" spans="25:26">
      <c r="Y10620" s="1354"/>
      <c r="Z10620" s="1060"/>
    </row>
    <row r="10621" spans="25:26">
      <c r="Y10621" s="1354"/>
      <c r="Z10621" s="1060"/>
    </row>
    <row r="10622" spans="25:26">
      <c r="Y10622" s="1354"/>
      <c r="Z10622" s="1060"/>
    </row>
    <row r="10623" spans="25:26">
      <c r="Y10623" s="1354"/>
      <c r="Z10623" s="1060"/>
    </row>
    <row r="10624" spans="25:26">
      <c r="Y10624" s="1354"/>
      <c r="Z10624" s="1060"/>
    </row>
    <row r="10625" spans="25:26">
      <c r="Y10625" s="1354"/>
      <c r="Z10625" s="1060"/>
    </row>
    <row r="10626" spans="25:26">
      <c r="Y10626" s="1354"/>
      <c r="Z10626" s="1060"/>
    </row>
    <row r="10627" spans="25:26">
      <c r="Y10627" s="1354"/>
      <c r="Z10627" s="1060"/>
    </row>
    <row r="10628" spans="25:26">
      <c r="Y10628" s="1354"/>
      <c r="Z10628" s="1060"/>
    </row>
    <row r="10629" spans="25:26">
      <c r="Y10629" s="1354"/>
      <c r="Z10629" s="1060"/>
    </row>
    <row r="10630" spans="25:26">
      <c r="Y10630" s="1354"/>
      <c r="Z10630" s="1060"/>
    </row>
    <row r="10631" spans="25:26">
      <c r="Y10631" s="1354"/>
      <c r="Z10631" s="1060"/>
    </row>
    <row r="10632" spans="25:26">
      <c r="Y10632" s="1354"/>
      <c r="Z10632" s="1060"/>
    </row>
    <row r="10633" spans="25:26">
      <c r="Y10633" s="1354"/>
      <c r="Z10633" s="1060"/>
    </row>
    <row r="10634" spans="25:26">
      <c r="Y10634" s="1354"/>
      <c r="Z10634" s="1060"/>
    </row>
    <row r="10635" spans="25:26">
      <c r="Y10635" s="1354"/>
      <c r="Z10635" s="1060"/>
    </row>
    <row r="10636" spans="25:26">
      <c r="Y10636" s="1354"/>
      <c r="Z10636" s="1060"/>
    </row>
    <row r="10637" spans="25:26">
      <c r="Y10637" s="1354"/>
      <c r="Z10637" s="1060"/>
    </row>
    <row r="10638" spans="25:26">
      <c r="Y10638" s="1354"/>
      <c r="Z10638" s="1060"/>
    </row>
    <row r="10639" spans="25:26">
      <c r="Y10639" s="1354"/>
      <c r="Z10639" s="1060"/>
    </row>
    <row r="10640" spans="25:26">
      <c r="Y10640" s="1354"/>
      <c r="Z10640" s="1060"/>
    </row>
    <row r="10641" spans="25:26">
      <c r="Y10641" s="1354"/>
      <c r="Z10641" s="1060"/>
    </row>
    <row r="10642" spans="25:26">
      <c r="Y10642" s="1354"/>
      <c r="Z10642" s="1060"/>
    </row>
    <row r="10643" spans="25:26">
      <c r="Y10643" s="1354"/>
      <c r="Z10643" s="1060"/>
    </row>
    <row r="10644" spans="25:26">
      <c r="Y10644" s="1354"/>
      <c r="Z10644" s="1060"/>
    </row>
    <row r="10645" spans="25:26">
      <c r="Y10645" s="1354"/>
      <c r="Z10645" s="1060"/>
    </row>
    <row r="10646" spans="25:26">
      <c r="Y10646" s="1354"/>
      <c r="Z10646" s="1060"/>
    </row>
    <row r="10647" spans="25:26">
      <c r="Y10647" s="1354"/>
      <c r="Z10647" s="1060"/>
    </row>
    <row r="10648" spans="25:26">
      <c r="Y10648" s="1354"/>
      <c r="Z10648" s="1060"/>
    </row>
    <row r="10649" spans="25:26">
      <c r="Y10649" s="1354"/>
      <c r="Z10649" s="1060"/>
    </row>
    <row r="10650" spans="25:26">
      <c r="Y10650" s="1354"/>
      <c r="Z10650" s="1060"/>
    </row>
    <row r="10651" spans="25:26">
      <c r="Y10651" s="1354"/>
      <c r="Z10651" s="1060"/>
    </row>
    <row r="10652" spans="25:26">
      <c r="Y10652" s="1354"/>
      <c r="Z10652" s="1060"/>
    </row>
    <row r="10653" spans="25:26">
      <c r="Y10653" s="1354"/>
      <c r="Z10653" s="1060"/>
    </row>
    <row r="10654" spans="25:26">
      <c r="Y10654" s="1354"/>
      <c r="Z10654" s="1060"/>
    </row>
    <row r="10655" spans="25:26">
      <c r="Y10655" s="1354"/>
      <c r="Z10655" s="1060"/>
    </row>
    <row r="10656" spans="25:26">
      <c r="Y10656" s="1354"/>
      <c r="Z10656" s="1060"/>
    </row>
    <row r="10657" spans="25:26">
      <c r="Y10657" s="1354"/>
      <c r="Z10657" s="1060"/>
    </row>
    <row r="10658" spans="25:26">
      <c r="Y10658" s="1354"/>
      <c r="Z10658" s="1060"/>
    </row>
    <row r="10659" spans="25:26">
      <c r="Y10659" s="1354"/>
      <c r="Z10659" s="1060"/>
    </row>
    <row r="10660" spans="25:26">
      <c r="Y10660" s="1354"/>
      <c r="Z10660" s="1060"/>
    </row>
    <row r="10661" spans="25:26">
      <c r="Y10661" s="1354"/>
      <c r="Z10661" s="1060"/>
    </row>
    <row r="10662" spans="25:26">
      <c r="Y10662" s="1354"/>
      <c r="Z10662" s="1060"/>
    </row>
    <row r="10663" spans="25:26">
      <c r="Y10663" s="1354"/>
      <c r="Z10663" s="1060"/>
    </row>
    <row r="10664" spans="25:26">
      <c r="Y10664" s="1354"/>
      <c r="Z10664" s="1060"/>
    </row>
    <row r="10665" spans="25:26">
      <c r="Y10665" s="1354"/>
      <c r="Z10665" s="1060"/>
    </row>
    <row r="10666" spans="25:26">
      <c r="Y10666" s="1354"/>
      <c r="Z10666" s="1060"/>
    </row>
    <row r="10667" spans="25:26">
      <c r="Y10667" s="1354"/>
      <c r="Z10667" s="1060"/>
    </row>
    <row r="10668" spans="25:26">
      <c r="Y10668" s="1354"/>
      <c r="Z10668" s="1060"/>
    </row>
    <row r="10669" spans="25:26">
      <c r="Y10669" s="1354"/>
      <c r="Z10669" s="1060"/>
    </row>
    <row r="10670" spans="25:26">
      <c r="Y10670" s="1354"/>
      <c r="Z10670" s="1060"/>
    </row>
    <row r="10671" spans="25:26">
      <c r="Y10671" s="1354"/>
      <c r="Z10671" s="1060"/>
    </row>
    <row r="10672" spans="25:26">
      <c r="Y10672" s="1354"/>
      <c r="Z10672" s="1060"/>
    </row>
    <row r="10673" spans="25:26">
      <c r="Y10673" s="1354"/>
      <c r="Z10673" s="1060"/>
    </row>
    <row r="10674" spans="25:26">
      <c r="Y10674" s="1354"/>
      <c r="Z10674" s="1060"/>
    </row>
    <row r="10675" spans="25:26">
      <c r="Y10675" s="1354"/>
      <c r="Z10675" s="1060"/>
    </row>
    <row r="10676" spans="25:26">
      <c r="Y10676" s="1354"/>
      <c r="Z10676" s="1060"/>
    </row>
    <row r="10677" spans="25:26">
      <c r="Y10677" s="1354"/>
      <c r="Z10677" s="1060"/>
    </row>
    <row r="10678" spans="25:26">
      <c r="Y10678" s="1354"/>
      <c r="Z10678" s="1060"/>
    </row>
    <row r="10679" spans="25:26">
      <c r="Y10679" s="1354"/>
      <c r="Z10679" s="1060"/>
    </row>
    <row r="10680" spans="25:26">
      <c r="Y10680" s="1354"/>
      <c r="Z10680" s="1060"/>
    </row>
    <row r="10681" spans="25:26">
      <c r="Y10681" s="1354"/>
      <c r="Z10681" s="1060"/>
    </row>
    <row r="10682" spans="25:26">
      <c r="Y10682" s="1354"/>
      <c r="Z10682" s="1060"/>
    </row>
    <row r="10683" spans="25:26">
      <c r="Y10683" s="1354"/>
      <c r="Z10683" s="1060"/>
    </row>
    <row r="10684" spans="25:26">
      <c r="Y10684" s="1354"/>
      <c r="Z10684" s="1060"/>
    </row>
    <row r="10685" spans="25:26">
      <c r="Y10685" s="1354"/>
      <c r="Z10685" s="1060"/>
    </row>
    <row r="10686" spans="25:26">
      <c r="Y10686" s="1354"/>
      <c r="Z10686" s="1060"/>
    </row>
    <row r="10687" spans="25:26">
      <c r="Y10687" s="1354"/>
      <c r="Z10687" s="1060"/>
    </row>
    <row r="10688" spans="25:26">
      <c r="Y10688" s="1354"/>
      <c r="Z10688" s="1060"/>
    </row>
    <row r="10689" spans="25:26">
      <c r="Y10689" s="1354"/>
      <c r="Z10689" s="1060"/>
    </row>
    <row r="10690" spans="25:26">
      <c r="Y10690" s="1354"/>
      <c r="Z10690" s="1060"/>
    </row>
    <row r="10691" spans="25:26">
      <c r="Y10691" s="1354"/>
      <c r="Z10691" s="1060"/>
    </row>
    <row r="10692" spans="25:26">
      <c r="Y10692" s="1354"/>
      <c r="Z10692" s="1060"/>
    </row>
    <row r="10693" spans="25:26">
      <c r="Y10693" s="1354"/>
      <c r="Z10693" s="1060"/>
    </row>
    <row r="10694" spans="25:26">
      <c r="Y10694" s="1354"/>
      <c r="Z10694" s="1060"/>
    </row>
    <row r="10695" spans="25:26">
      <c r="Y10695" s="1354"/>
      <c r="Z10695" s="1060"/>
    </row>
    <row r="10696" spans="25:26">
      <c r="Y10696" s="1354"/>
      <c r="Z10696" s="1060"/>
    </row>
    <row r="10697" spans="25:26">
      <c r="Y10697" s="1354"/>
      <c r="Z10697" s="1060"/>
    </row>
    <row r="10698" spans="25:26">
      <c r="Y10698" s="1354"/>
      <c r="Z10698" s="1060"/>
    </row>
    <row r="10699" spans="25:26">
      <c r="Y10699" s="1354"/>
      <c r="Z10699" s="1060"/>
    </row>
    <row r="10700" spans="25:26">
      <c r="Y10700" s="1354"/>
      <c r="Z10700" s="1060"/>
    </row>
    <row r="10701" spans="25:26">
      <c r="Y10701" s="1354"/>
      <c r="Z10701" s="1060"/>
    </row>
    <row r="10702" spans="25:26">
      <c r="Y10702" s="1354"/>
      <c r="Z10702" s="1060"/>
    </row>
    <row r="10703" spans="25:26">
      <c r="Y10703" s="1354"/>
      <c r="Z10703" s="1060"/>
    </row>
    <row r="10704" spans="25:26">
      <c r="Y10704" s="1354"/>
      <c r="Z10704" s="1060"/>
    </row>
    <row r="10705" spans="25:26">
      <c r="Y10705" s="1354"/>
      <c r="Z10705" s="1060"/>
    </row>
    <row r="10706" spans="25:26">
      <c r="Y10706" s="1354"/>
      <c r="Z10706" s="1060"/>
    </row>
    <row r="10707" spans="25:26">
      <c r="Y10707" s="1354"/>
      <c r="Z10707" s="1060"/>
    </row>
    <row r="10708" spans="25:26">
      <c r="Y10708" s="1354"/>
      <c r="Z10708" s="1060"/>
    </row>
    <row r="10709" spans="25:26">
      <c r="Y10709" s="1354"/>
      <c r="Z10709" s="1060"/>
    </row>
    <row r="10710" spans="25:26">
      <c r="Y10710" s="1354"/>
      <c r="Z10710" s="1060"/>
    </row>
    <row r="10711" spans="25:26">
      <c r="Y10711" s="1354"/>
      <c r="Z10711" s="1060"/>
    </row>
    <row r="10712" spans="25:26">
      <c r="Y10712" s="1354"/>
      <c r="Z10712" s="1060"/>
    </row>
    <row r="10713" spans="25:26">
      <c r="Y10713" s="1354"/>
      <c r="Z10713" s="1060"/>
    </row>
    <row r="10714" spans="25:26">
      <c r="Y10714" s="1354"/>
      <c r="Z10714" s="1060"/>
    </row>
    <row r="10715" spans="25:26">
      <c r="Y10715" s="1354"/>
      <c r="Z10715" s="1060"/>
    </row>
    <row r="10716" spans="25:26">
      <c r="Y10716" s="1354"/>
      <c r="Z10716" s="1060"/>
    </row>
    <row r="10717" spans="25:26">
      <c r="Y10717" s="1354"/>
      <c r="Z10717" s="1060"/>
    </row>
    <row r="10718" spans="25:26">
      <c r="Y10718" s="1354"/>
      <c r="Z10718" s="1060"/>
    </row>
    <row r="10719" spans="25:26">
      <c r="Y10719" s="1354"/>
      <c r="Z10719" s="1060"/>
    </row>
    <row r="10720" spans="25:26">
      <c r="Y10720" s="1354"/>
      <c r="Z10720" s="1060"/>
    </row>
    <row r="10721" spans="25:26">
      <c r="Y10721" s="1354"/>
      <c r="Z10721" s="1060"/>
    </row>
    <row r="10722" spans="25:26">
      <c r="Y10722" s="1354"/>
      <c r="Z10722" s="1060"/>
    </row>
    <row r="10723" spans="25:26">
      <c r="Y10723" s="1354"/>
      <c r="Z10723" s="1060"/>
    </row>
    <row r="10724" spans="25:26">
      <c r="Y10724" s="1354"/>
      <c r="Z10724" s="1060"/>
    </row>
    <row r="10725" spans="25:26">
      <c r="Y10725" s="1354"/>
      <c r="Z10725" s="1060"/>
    </row>
    <row r="10726" spans="25:26">
      <c r="Y10726" s="1354"/>
      <c r="Z10726" s="1060"/>
    </row>
    <row r="10727" spans="25:26">
      <c r="Y10727" s="1354"/>
      <c r="Z10727" s="1060"/>
    </row>
    <row r="10728" spans="25:26">
      <c r="Y10728" s="1354"/>
      <c r="Z10728" s="1060"/>
    </row>
    <row r="10729" spans="25:26">
      <c r="Y10729" s="1354"/>
      <c r="Z10729" s="1060"/>
    </row>
    <row r="10730" spans="25:26">
      <c r="Y10730" s="1354"/>
      <c r="Z10730" s="1060"/>
    </row>
    <row r="10731" spans="25:26">
      <c r="Y10731" s="1354"/>
      <c r="Z10731" s="1060"/>
    </row>
    <row r="10732" spans="25:26">
      <c r="Y10732" s="1354"/>
      <c r="Z10732" s="1060"/>
    </row>
    <row r="10733" spans="25:26">
      <c r="Y10733" s="1354"/>
      <c r="Z10733" s="1060"/>
    </row>
    <row r="10734" spans="25:26">
      <c r="Y10734" s="1354"/>
      <c r="Z10734" s="1060"/>
    </row>
    <row r="10735" spans="25:26">
      <c r="Y10735" s="1354"/>
      <c r="Z10735" s="1060"/>
    </row>
    <row r="10736" spans="25:26">
      <c r="Y10736" s="1354"/>
      <c r="Z10736" s="1060"/>
    </row>
    <row r="10737" spans="25:26">
      <c r="Y10737" s="1354"/>
      <c r="Z10737" s="1060"/>
    </row>
    <row r="10738" spans="25:26">
      <c r="Y10738" s="1354"/>
      <c r="Z10738" s="1060"/>
    </row>
    <row r="10739" spans="25:26">
      <c r="Y10739" s="1354"/>
      <c r="Z10739" s="1060"/>
    </row>
    <row r="10740" spans="25:26">
      <c r="Y10740" s="1354"/>
      <c r="Z10740" s="1060"/>
    </row>
    <row r="10741" spans="25:26">
      <c r="Y10741" s="1354"/>
      <c r="Z10741" s="1060"/>
    </row>
    <row r="10742" spans="25:26">
      <c r="Y10742" s="1354"/>
      <c r="Z10742" s="1060"/>
    </row>
    <row r="10743" spans="25:26">
      <c r="Y10743" s="1354"/>
      <c r="Z10743" s="1060"/>
    </row>
    <row r="10744" spans="25:26">
      <c r="Y10744" s="1354"/>
      <c r="Z10744" s="1060"/>
    </row>
    <row r="10745" spans="25:26">
      <c r="Y10745" s="1354"/>
      <c r="Z10745" s="1060"/>
    </row>
    <row r="10746" spans="25:26">
      <c r="Y10746" s="1354"/>
      <c r="Z10746" s="1060"/>
    </row>
    <row r="10747" spans="25:26">
      <c r="Y10747" s="1354"/>
      <c r="Z10747" s="1060"/>
    </row>
    <row r="10748" spans="25:26">
      <c r="Y10748" s="1354"/>
      <c r="Z10748" s="1060"/>
    </row>
    <row r="10749" spans="25:26">
      <c r="Y10749" s="1354"/>
      <c r="Z10749" s="1060"/>
    </row>
    <row r="10750" spans="25:26">
      <c r="Y10750" s="1354"/>
      <c r="Z10750" s="1060"/>
    </row>
    <row r="10751" spans="25:26">
      <c r="Y10751" s="1354"/>
      <c r="Z10751" s="1060"/>
    </row>
    <row r="10752" spans="25:26">
      <c r="Y10752" s="1354"/>
      <c r="Z10752" s="1060"/>
    </row>
    <row r="10753" spans="25:26">
      <c r="Y10753" s="1354"/>
      <c r="Z10753" s="1060"/>
    </row>
    <row r="10754" spans="25:26">
      <c r="Y10754" s="1354"/>
      <c r="Z10754" s="1060"/>
    </row>
    <row r="10755" spans="25:26">
      <c r="Y10755" s="1354"/>
      <c r="Z10755" s="1060"/>
    </row>
    <row r="10756" spans="25:26">
      <c r="Y10756" s="1354"/>
      <c r="Z10756" s="1060"/>
    </row>
    <row r="10757" spans="25:26">
      <c r="Y10757" s="1354"/>
      <c r="Z10757" s="1060"/>
    </row>
    <row r="10758" spans="25:26">
      <c r="Y10758" s="1354"/>
      <c r="Z10758" s="1060"/>
    </row>
    <row r="10759" spans="25:26">
      <c r="Y10759" s="1354"/>
      <c r="Z10759" s="1060"/>
    </row>
    <row r="10760" spans="25:26">
      <c r="Y10760" s="1354"/>
      <c r="Z10760" s="1060"/>
    </row>
    <row r="10761" spans="25:26">
      <c r="Y10761" s="1354"/>
      <c r="Z10761" s="1060"/>
    </row>
    <row r="10762" spans="25:26">
      <c r="Y10762" s="1354"/>
      <c r="Z10762" s="1060"/>
    </row>
    <row r="10763" spans="25:26">
      <c r="Y10763" s="1354"/>
      <c r="Z10763" s="1060"/>
    </row>
    <row r="10764" spans="25:26">
      <c r="Y10764" s="1354"/>
      <c r="Z10764" s="1060"/>
    </row>
    <row r="10765" spans="25:26">
      <c r="Y10765" s="1354"/>
      <c r="Z10765" s="1060"/>
    </row>
    <row r="10766" spans="25:26">
      <c r="Y10766" s="1354"/>
      <c r="Z10766" s="1060"/>
    </row>
    <row r="10767" spans="25:26">
      <c r="Y10767" s="1354"/>
      <c r="Z10767" s="1060"/>
    </row>
    <row r="10768" spans="25:26">
      <c r="Y10768" s="1354"/>
      <c r="Z10768" s="1060"/>
    </row>
    <row r="10769" spans="25:26">
      <c r="Y10769" s="1354"/>
      <c r="Z10769" s="1060"/>
    </row>
    <row r="10770" spans="25:26">
      <c r="Y10770" s="1354"/>
      <c r="Z10770" s="1060"/>
    </row>
    <row r="10771" spans="25:26">
      <c r="Y10771" s="1354"/>
      <c r="Z10771" s="1060"/>
    </row>
    <row r="10772" spans="25:26">
      <c r="Y10772" s="1354"/>
      <c r="Z10772" s="1060"/>
    </row>
    <row r="10773" spans="25:26">
      <c r="Y10773" s="1354"/>
      <c r="Z10773" s="1060"/>
    </row>
    <row r="10774" spans="25:26">
      <c r="Y10774" s="1354"/>
      <c r="Z10774" s="1060"/>
    </row>
    <row r="10775" spans="25:26">
      <c r="Y10775" s="1354"/>
      <c r="Z10775" s="1060"/>
    </row>
    <row r="10776" spans="25:26">
      <c r="Y10776" s="1354"/>
      <c r="Z10776" s="1060"/>
    </row>
    <row r="10777" spans="25:26">
      <c r="Y10777" s="1354"/>
      <c r="Z10777" s="1060"/>
    </row>
    <row r="10778" spans="25:26">
      <c r="Y10778" s="1354"/>
      <c r="Z10778" s="1060"/>
    </row>
    <row r="10779" spans="25:26">
      <c r="Y10779" s="1354"/>
      <c r="Z10779" s="1060"/>
    </row>
    <row r="10780" spans="25:26">
      <c r="Y10780" s="1354"/>
      <c r="Z10780" s="1060"/>
    </row>
    <row r="10781" spans="25:26">
      <c r="Y10781" s="1354"/>
      <c r="Z10781" s="1060"/>
    </row>
    <row r="10782" spans="25:26">
      <c r="Y10782" s="1354"/>
      <c r="Z10782" s="1060"/>
    </row>
    <row r="10783" spans="25:26">
      <c r="Y10783" s="1354"/>
      <c r="Z10783" s="1060"/>
    </row>
    <row r="10784" spans="25:26">
      <c r="Y10784" s="1354"/>
      <c r="Z10784" s="1060"/>
    </row>
    <row r="10785" spans="25:26">
      <c r="Y10785" s="1354"/>
      <c r="Z10785" s="1060"/>
    </row>
    <row r="10786" spans="25:26">
      <c r="Y10786" s="1354"/>
      <c r="Z10786" s="1060"/>
    </row>
    <row r="10787" spans="25:26">
      <c r="Y10787" s="1354"/>
      <c r="Z10787" s="1060"/>
    </row>
    <row r="10788" spans="25:26">
      <c r="Y10788" s="1354"/>
      <c r="Z10788" s="1060"/>
    </row>
    <row r="10789" spans="25:26">
      <c r="Y10789" s="1354"/>
      <c r="Z10789" s="1060"/>
    </row>
    <row r="10790" spans="25:26">
      <c r="Y10790" s="1354"/>
      <c r="Z10790" s="1060"/>
    </row>
    <row r="10791" spans="25:26">
      <c r="Y10791" s="1354"/>
      <c r="Z10791" s="1060"/>
    </row>
    <row r="10792" spans="25:26">
      <c r="Y10792" s="1354"/>
      <c r="Z10792" s="1060"/>
    </row>
    <row r="10793" spans="25:26">
      <c r="Y10793" s="1354"/>
      <c r="Z10793" s="1060"/>
    </row>
    <row r="10794" spans="25:26">
      <c r="Y10794" s="1354"/>
      <c r="Z10794" s="1060"/>
    </row>
    <row r="10795" spans="25:26">
      <c r="Y10795" s="1354"/>
      <c r="Z10795" s="1060"/>
    </row>
    <row r="10796" spans="25:26">
      <c r="Y10796" s="1354"/>
      <c r="Z10796" s="1060"/>
    </row>
    <row r="10797" spans="25:26">
      <c r="Y10797" s="1354"/>
      <c r="Z10797" s="1060"/>
    </row>
    <row r="10798" spans="25:26">
      <c r="Y10798" s="1354"/>
      <c r="Z10798" s="1060"/>
    </row>
    <row r="10799" spans="25:26">
      <c r="Y10799" s="1354"/>
      <c r="Z10799" s="1060"/>
    </row>
    <row r="10800" spans="25:26">
      <c r="Y10800" s="1354"/>
      <c r="Z10800" s="1060"/>
    </row>
    <row r="10801" spans="25:26">
      <c r="Y10801" s="1354"/>
      <c r="Z10801" s="1060"/>
    </row>
    <row r="10802" spans="25:26">
      <c r="Y10802" s="1354"/>
      <c r="Z10802" s="1060"/>
    </row>
    <row r="10803" spans="25:26">
      <c r="Y10803" s="1354"/>
      <c r="Z10803" s="1060"/>
    </row>
    <row r="10804" spans="25:26">
      <c r="Y10804" s="1354"/>
      <c r="Z10804" s="1060"/>
    </row>
    <row r="10805" spans="25:26">
      <c r="Y10805" s="1354"/>
      <c r="Z10805" s="1060"/>
    </row>
    <row r="10806" spans="25:26">
      <c r="Y10806" s="1354"/>
      <c r="Z10806" s="1060"/>
    </row>
    <row r="10807" spans="25:26">
      <c r="Y10807" s="1354"/>
      <c r="Z10807" s="1060"/>
    </row>
    <row r="10808" spans="25:26">
      <c r="Y10808" s="1354"/>
      <c r="Z10808" s="1060"/>
    </row>
    <row r="10809" spans="25:26">
      <c r="Y10809" s="1354"/>
      <c r="Z10809" s="1060"/>
    </row>
    <row r="10810" spans="25:26">
      <c r="Y10810" s="1354"/>
      <c r="Z10810" s="1060"/>
    </row>
    <row r="10811" spans="25:26">
      <c r="Y10811" s="1354"/>
      <c r="Z10811" s="1060"/>
    </row>
    <row r="10812" spans="25:26">
      <c r="Y10812" s="1354"/>
      <c r="Z10812" s="1060"/>
    </row>
    <row r="10813" spans="25:26">
      <c r="Y10813" s="1354"/>
      <c r="Z10813" s="1060"/>
    </row>
    <row r="10814" spans="25:26">
      <c r="Y10814" s="1354"/>
      <c r="Z10814" s="1060"/>
    </row>
    <row r="10815" spans="25:26">
      <c r="Y10815" s="1354"/>
      <c r="Z10815" s="1060"/>
    </row>
    <row r="10816" spans="25:26">
      <c r="Y10816" s="1354"/>
      <c r="Z10816" s="1060"/>
    </row>
    <row r="10817" spans="25:26">
      <c r="Y10817" s="1354"/>
      <c r="Z10817" s="1060"/>
    </row>
    <row r="10818" spans="25:26">
      <c r="Y10818" s="1354"/>
      <c r="Z10818" s="1060"/>
    </row>
    <row r="10819" spans="25:26">
      <c r="Y10819" s="1354"/>
      <c r="Z10819" s="1060"/>
    </row>
    <row r="10820" spans="25:26">
      <c r="Y10820" s="1354"/>
      <c r="Z10820" s="1060"/>
    </row>
    <row r="10821" spans="25:26">
      <c r="Y10821" s="1354"/>
      <c r="Z10821" s="1060"/>
    </row>
    <row r="10822" spans="25:26">
      <c r="Y10822" s="1354"/>
      <c r="Z10822" s="1060"/>
    </row>
    <row r="10823" spans="25:26">
      <c r="Y10823" s="1354"/>
      <c r="Z10823" s="1060"/>
    </row>
    <row r="10824" spans="25:26">
      <c r="Y10824" s="1354"/>
      <c r="Z10824" s="1060"/>
    </row>
    <row r="10825" spans="25:26">
      <c r="Y10825" s="1354"/>
      <c r="Z10825" s="1060"/>
    </row>
    <row r="10826" spans="25:26">
      <c r="Y10826" s="1354"/>
      <c r="Z10826" s="1060"/>
    </row>
    <row r="10827" spans="25:26">
      <c r="Y10827" s="1354"/>
      <c r="Z10827" s="1060"/>
    </row>
    <row r="10828" spans="25:26">
      <c r="Y10828" s="1354"/>
      <c r="Z10828" s="1060"/>
    </row>
    <row r="10829" spans="25:26">
      <c r="Y10829" s="1354"/>
      <c r="Z10829" s="1060"/>
    </row>
    <row r="10830" spans="25:26">
      <c r="Y10830" s="1354"/>
      <c r="Z10830" s="1060"/>
    </row>
    <row r="10831" spans="25:26">
      <c r="Y10831" s="1354"/>
      <c r="Z10831" s="1060"/>
    </row>
    <row r="10832" spans="25:26">
      <c r="Y10832" s="1354"/>
      <c r="Z10832" s="1060"/>
    </row>
    <row r="10833" spans="25:26">
      <c r="Y10833" s="1354"/>
      <c r="Z10833" s="1060"/>
    </row>
    <row r="10834" spans="25:26">
      <c r="Y10834" s="1354"/>
      <c r="Z10834" s="1060"/>
    </row>
    <row r="10835" spans="25:26">
      <c r="Y10835" s="1354"/>
      <c r="Z10835" s="1060"/>
    </row>
    <row r="10836" spans="25:26">
      <c r="Y10836" s="1354"/>
      <c r="Z10836" s="1060"/>
    </row>
    <row r="10837" spans="25:26">
      <c r="Y10837" s="1354"/>
      <c r="Z10837" s="1060"/>
    </row>
    <row r="10838" spans="25:26">
      <c r="Y10838" s="1354"/>
      <c r="Z10838" s="1060"/>
    </row>
    <row r="10839" spans="25:26">
      <c r="Y10839" s="1354"/>
      <c r="Z10839" s="1060"/>
    </row>
    <row r="10840" spans="25:26">
      <c r="Y10840" s="1354"/>
      <c r="Z10840" s="1060"/>
    </row>
    <row r="10841" spans="25:26">
      <c r="Y10841" s="1354"/>
      <c r="Z10841" s="1060"/>
    </row>
    <row r="10842" spans="25:26">
      <c r="Y10842" s="1354"/>
      <c r="Z10842" s="1060"/>
    </row>
    <row r="10843" spans="25:26">
      <c r="Y10843" s="1354"/>
      <c r="Z10843" s="1060"/>
    </row>
    <row r="10844" spans="25:26">
      <c r="Y10844" s="1354"/>
      <c r="Z10844" s="1060"/>
    </row>
    <row r="10845" spans="25:26">
      <c r="Y10845" s="1354"/>
      <c r="Z10845" s="1060"/>
    </row>
    <row r="10846" spans="25:26">
      <c r="Y10846" s="1354"/>
      <c r="Z10846" s="1060"/>
    </row>
    <row r="10847" spans="25:26">
      <c r="Y10847" s="1354"/>
      <c r="Z10847" s="1060"/>
    </row>
    <row r="10848" spans="25:26">
      <c r="Y10848" s="1354"/>
      <c r="Z10848" s="1060"/>
    </row>
    <row r="10849" spans="25:26">
      <c r="Y10849" s="1354"/>
      <c r="Z10849" s="1060"/>
    </row>
    <row r="10850" spans="25:26">
      <c r="Y10850" s="1354"/>
      <c r="Z10850" s="1060"/>
    </row>
    <row r="10851" spans="25:26">
      <c r="Y10851" s="1354"/>
      <c r="Z10851" s="1060"/>
    </row>
    <row r="10852" spans="25:26">
      <c r="Y10852" s="1354"/>
      <c r="Z10852" s="1060"/>
    </row>
    <row r="10853" spans="25:26">
      <c r="Y10853" s="1354"/>
      <c r="Z10853" s="1060"/>
    </row>
    <row r="10854" spans="25:26">
      <c r="Y10854" s="1354"/>
      <c r="Z10854" s="1060"/>
    </row>
    <row r="10855" spans="25:26">
      <c r="Y10855" s="1354"/>
      <c r="Z10855" s="1060"/>
    </row>
    <row r="10856" spans="25:26">
      <c r="Y10856" s="1354"/>
      <c r="Z10856" s="1060"/>
    </row>
    <row r="10857" spans="25:26">
      <c r="Y10857" s="1354"/>
      <c r="Z10857" s="1060"/>
    </row>
    <row r="10858" spans="25:26">
      <c r="Y10858" s="1354"/>
      <c r="Z10858" s="1060"/>
    </row>
    <row r="10859" spans="25:26">
      <c r="Y10859" s="1354"/>
      <c r="Z10859" s="1060"/>
    </row>
    <row r="10860" spans="25:26">
      <c r="Y10860" s="1354"/>
      <c r="Z10860" s="1060"/>
    </row>
    <row r="10861" spans="25:26">
      <c r="Y10861" s="1354"/>
      <c r="Z10861" s="1060"/>
    </row>
    <row r="10862" spans="25:26">
      <c r="Y10862" s="1354"/>
      <c r="Z10862" s="1060"/>
    </row>
    <row r="10863" spans="25:26">
      <c r="Y10863" s="1354"/>
      <c r="Z10863" s="1060"/>
    </row>
    <row r="10864" spans="25:26">
      <c r="Y10864" s="1354"/>
      <c r="Z10864" s="1060"/>
    </row>
    <row r="10865" spans="25:26">
      <c r="Y10865" s="1354"/>
      <c r="Z10865" s="1060"/>
    </row>
    <row r="10866" spans="25:26">
      <c r="Y10866" s="1354"/>
      <c r="Z10866" s="1060"/>
    </row>
    <row r="10867" spans="25:26">
      <c r="Y10867" s="1354"/>
      <c r="Z10867" s="1060"/>
    </row>
    <row r="10868" spans="25:26">
      <c r="Y10868" s="1354"/>
      <c r="Z10868" s="1060"/>
    </row>
    <row r="10869" spans="25:26">
      <c r="Y10869" s="1354"/>
      <c r="Z10869" s="1060"/>
    </row>
    <row r="10870" spans="25:26">
      <c r="Y10870" s="1354"/>
      <c r="Z10870" s="1060"/>
    </row>
    <row r="10871" spans="25:26">
      <c r="Y10871" s="1354"/>
      <c r="Z10871" s="1060"/>
    </row>
    <row r="10872" spans="25:26">
      <c r="Y10872" s="1354"/>
      <c r="Z10872" s="1060"/>
    </row>
    <row r="10873" spans="25:26">
      <c r="Y10873" s="1354"/>
      <c r="Z10873" s="1060"/>
    </row>
    <row r="10874" spans="25:26">
      <c r="Y10874" s="1354"/>
      <c r="Z10874" s="1060"/>
    </row>
    <row r="10875" spans="25:26">
      <c r="Y10875" s="1354"/>
      <c r="Z10875" s="1060"/>
    </row>
    <row r="10876" spans="25:26">
      <c r="Y10876" s="1354"/>
      <c r="Z10876" s="1060"/>
    </row>
    <row r="10877" spans="25:26">
      <c r="Y10877" s="1354"/>
      <c r="Z10877" s="1060"/>
    </row>
    <row r="10878" spans="25:26">
      <c r="Y10878" s="1354"/>
      <c r="Z10878" s="1060"/>
    </row>
    <row r="10879" spans="25:26">
      <c r="Y10879" s="1354"/>
      <c r="Z10879" s="1060"/>
    </row>
    <row r="10880" spans="25:26">
      <c r="Y10880" s="1354"/>
      <c r="Z10880" s="1060"/>
    </row>
    <row r="10881" spans="25:26">
      <c r="Y10881" s="1354"/>
      <c r="Z10881" s="1060"/>
    </row>
    <row r="10882" spans="25:26">
      <c r="Y10882" s="1354"/>
      <c r="Z10882" s="1060"/>
    </row>
    <row r="10883" spans="25:26">
      <c r="Y10883" s="1354"/>
      <c r="Z10883" s="1060"/>
    </row>
    <row r="10884" spans="25:26">
      <c r="Y10884" s="1354"/>
      <c r="Z10884" s="1060"/>
    </row>
    <row r="10885" spans="25:26">
      <c r="Y10885" s="1354"/>
      <c r="Z10885" s="1060"/>
    </row>
    <row r="10886" spans="25:26">
      <c r="Y10886" s="1354"/>
      <c r="Z10886" s="1060"/>
    </row>
    <row r="10887" spans="25:26">
      <c r="Y10887" s="1354"/>
      <c r="Z10887" s="1060"/>
    </row>
    <row r="10888" spans="25:26">
      <c r="Y10888" s="1354"/>
      <c r="Z10888" s="1060"/>
    </row>
    <row r="10889" spans="25:26">
      <c r="Y10889" s="1354"/>
      <c r="Z10889" s="1060"/>
    </row>
    <row r="10890" spans="25:26">
      <c r="Y10890" s="1354"/>
      <c r="Z10890" s="1060"/>
    </row>
    <row r="10891" spans="25:26">
      <c r="Y10891" s="1354"/>
      <c r="Z10891" s="1060"/>
    </row>
    <row r="10892" spans="25:26">
      <c r="Y10892" s="1354"/>
      <c r="Z10892" s="1060"/>
    </row>
    <row r="10893" spans="25:26">
      <c r="Y10893" s="1354"/>
      <c r="Z10893" s="1060"/>
    </row>
    <row r="10894" spans="25:26">
      <c r="Y10894" s="1354"/>
      <c r="Z10894" s="1060"/>
    </row>
    <row r="10895" spans="25:26">
      <c r="Y10895" s="1354"/>
      <c r="Z10895" s="1060"/>
    </row>
    <row r="10896" spans="25:26">
      <c r="Y10896" s="1354"/>
      <c r="Z10896" s="1060"/>
    </row>
    <row r="10897" spans="25:26">
      <c r="Y10897" s="1354"/>
      <c r="Z10897" s="1060"/>
    </row>
    <row r="10898" spans="25:26">
      <c r="Y10898" s="1354"/>
      <c r="Z10898" s="1060"/>
    </row>
    <row r="10899" spans="25:26">
      <c r="Y10899" s="1354"/>
      <c r="Z10899" s="1060"/>
    </row>
    <row r="10900" spans="25:26">
      <c r="Y10900" s="1354"/>
      <c r="Z10900" s="1060"/>
    </row>
    <row r="10901" spans="25:26">
      <c r="Y10901" s="1354"/>
      <c r="Z10901" s="1060"/>
    </row>
    <row r="10902" spans="25:26">
      <c r="Y10902" s="1354"/>
      <c r="Z10902" s="1060"/>
    </row>
    <row r="10903" spans="25:26">
      <c r="Y10903" s="1354"/>
      <c r="Z10903" s="1060"/>
    </row>
    <row r="10904" spans="25:26">
      <c r="Y10904" s="1354"/>
      <c r="Z10904" s="1060"/>
    </row>
    <row r="10905" spans="25:26">
      <c r="Y10905" s="1354"/>
      <c r="Z10905" s="1060"/>
    </row>
    <row r="10906" spans="25:26">
      <c r="Y10906" s="1354"/>
      <c r="Z10906" s="1060"/>
    </row>
    <row r="10907" spans="25:26">
      <c r="Y10907" s="1354"/>
      <c r="Z10907" s="1060"/>
    </row>
    <row r="10908" spans="25:26">
      <c r="Y10908" s="1354"/>
      <c r="Z10908" s="1060"/>
    </row>
    <row r="10909" spans="25:26">
      <c r="Y10909" s="1354"/>
      <c r="Z10909" s="1060"/>
    </row>
    <row r="10910" spans="25:26">
      <c r="Y10910" s="1354"/>
      <c r="Z10910" s="1060"/>
    </row>
    <row r="10911" spans="25:26">
      <c r="Y10911" s="1354"/>
      <c r="Z10911" s="1060"/>
    </row>
    <row r="10912" spans="25:26">
      <c r="Y10912" s="1354"/>
      <c r="Z10912" s="1060"/>
    </row>
    <row r="10913" spans="25:26">
      <c r="Y10913" s="1354"/>
      <c r="Z10913" s="1060"/>
    </row>
    <row r="10914" spans="25:26">
      <c r="Y10914" s="1354"/>
      <c r="Z10914" s="1060"/>
    </row>
    <row r="10915" spans="25:26">
      <c r="Y10915" s="1354"/>
      <c r="Z10915" s="1060"/>
    </row>
    <row r="10916" spans="25:26">
      <c r="Y10916" s="1354"/>
      <c r="Z10916" s="1060"/>
    </row>
    <row r="10917" spans="25:26">
      <c r="Y10917" s="1354"/>
      <c r="Z10917" s="1060"/>
    </row>
    <row r="10918" spans="25:26">
      <c r="Y10918" s="1354"/>
      <c r="Z10918" s="1060"/>
    </row>
    <row r="10919" spans="25:26">
      <c r="Y10919" s="1354"/>
      <c r="Z10919" s="1060"/>
    </row>
    <row r="10920" spans="25:26">
      <c r="Y10920" s="1354"/>
      <c r="Z10920" s="1060"/>
    </row>
    <row r="10921" spans="25:26">
      <c r="Y10921" s="1354"/>
      <c r="Z10921" s="1060"/>
    </row>
    <row r="10922" spans="25:26">
      <c r="Y10922" s="1354"/>
      <c r="Z10922" s="1060"/>
    </row>
    <row r="10923" spans="25:26">
      <c r="Y10923" s="1354"/>
      <c r="Z10923" s="1060"/>
    </row>
    <row r="10924" spans="25:26">
      <c r="Y10924" s="1354"/>
      <c r="Z10924" s="1060"/>
    </row>
    <row r="10925" spans="25:26">
      <c r="Y10925" s="1354"/>
      <c r="Z10925" s="1060"/>
    </row>
    <row r="10926" spans="25:26">
      <c r="Y10926" s="1354"/>
      <c r="Z10926" s="1060"/>
    </row>
    <row r="10927" spans="25:26">
      <c r="Y10927" s="1354"/>
      <c r="Z10927" s="1060"/>
    </row>
    <row r="10928" spans="25:26">
      <c r="Y10928" s="1354"/>
      <c r="Z10928" s="1060"/>
    </row>
    <row r="10929" spans="25:26">
      <c r="Y10929" s="1354"/>
      <c r="Z10929" s="1060"/>
    </row>
    <row r="10930" spans="25:26">
      <c r="Y10930" s="1354"/>
      <c r="Z10930" s="1060"/>
    </row>
    <row r="10931" spans="25:26">
      <c r="Y10931" s="1354"/>
      <c r="Z10931" s="1060"/>
    </row>
    <row r="10932" spans="25:26">
      <c r="Y10932" s="1354"/>
      <c r="Z10932" s="1060"/>
    </row>
    <row r="10933" spans="25:26">
      <c r="Y10933" s="1354"/>
      <c r="Z10933" s="1060"/>
    </row>
    <row r="10934" spans="25:26">
      <c r="Y10934" s="1354"/>
      <c r="Z10934" s="1060"/>
    </row>
    <row r="10935" spans="25:26">
      <c r="Y10935" s="1354"/>
      <c r="Z10935" s="1060"/>
    </row>
    <row r="10936" spans="25:26">
      <c r="Y10936" s="1354"/>
      <c r="Z10936" s="1060"/>
    </row>
    <row r="10937" spans="25:26">
      <c r="Y10937" s="1354"/>
      <c r="Z10937" s="1060"/>
    </row>
    <row r="10938" spans="25:26">
      <c r="Y10938" s="1354"/>
      <c r="Z10938" s="1060"/>
    </row>
    <row r="10939" spans="25:26">
      <c r="Y10939" s="1354"/>
      <c r="Z10939" s="1060"/>
    </row>
    <row r="10940" spans="25:26">
      <c r="Y10940" s="1354"/>
      <c r="Z10940" s="1060"/>
    </row>
    <row r="10941" spans="25:26">
      <c r="Y10941" s="1354"/>
      <c r="Z10941" s="1060"/>
    </row>
    <row r="10942" spans="25:26">
      <c r="Y10942" s="1354"/>
      <c r="Z10942" s="1060"/>
    </row>
    <row r="10943" spans="25:26">
      <c r="Y10943" s="1354"/>
      <c r="Z10943" s="1060"/>
    </row>
    <row r="10944" spans="25:26">
      <c r="Y10944" s="1354"/>
      <c r="Z10944" s="1060"/>
    </row>
    <row r="10945" spans="25:26">
      <c r="Y10945" s="1354"/>
      <c r="Z10945" s="1060"/>
    </row>
    <row r="10946" spans="25:26">
      <c r="Y10946" s="1354"/>
      <c r="Z10946" s="1060"/>
    </row>
    <row r="10947" spans="25:26">
      <c r="Y10947" s="1354"/>
      <c r="Z10947" s="1060"/>
    </row>
    <row r="10948" spans="25:26">
      <c r="Y10948" s="1354"/>
      <c r="Z10948" s="1060"/>
    </row>
    <row r="10949" spans="25:26">
      <c r="Y10949" s="1354"/>
      <c r="Z10949" s="1060"/>
    </row>
    <row r="10950" spans="25:26">
      <c r="Y10950" s="1354"/>
      <c r="Z10950" s="1060"/>
    </row>
    <row r="10951" spans="25:26">
      <c r="Y10951" s="1354"/>
      <c r="Z10951" s="1060"/>
    </row>
    <row r="10952" spans="25:26">
      <c r="Y10952" s="1354"/>
      <c r="Z10952" s="1060"/>
    </row>
    <row r="10953" spans="25:26">
      <c r="Y10953" s="1354"/>
      <c r="Z10953" s="1060"/>
    </row>
    <row r="10954" spans="25:26">
      <c r="Y10954" s="1354"/>
      <c r="Z10954" s="1060"/>
    </row>
    <row r="10955" spans="25:26">
      <c r="Y10955" s="1354"/>
      <c r="Z10955" s="1060"/>
    </row>
    <row r="10956" spans="25:26">
      <c r="Y10956" s="1354"/>
      <c r="Z10956" s="1060"/>
    </row>
    <row r="10957" spans="25:26">
      <c r="Y10957" s="1354"/>
      <c r="Z10957" s="1060"/>
    </row>
    <row r="10958" spans="25:26">
      <c r="Y10958" s="1354"/>
      <c r="Z10958" s="1060"/>
    </row>
    <row r="10959" spans="25:26">
      <c r="Y10959" s="1354"/>
      <c r="Z10959" s="1060"/>
    </row>
    <row r="10960" spans="25:26">
      <c r="Y10960" s="1354"/>
      <c r="Z10960" s="1060"/>
    </row>
    <row r="10961" spans="25:26">
      <c r="Y10961" s="1354"/>
      <c r="Z10961" s="1060"/>
    </row>
    <row r="10962" spans="25:26">
      <c r="Y10962" s="1354"/>
      <c r="Z10962" s="1060"/>
    </row>
    <row r="10963" spans="25:26">
      <c r="Y10963" s="1354"/>
      <c r="Z10963" s="1060"/>
    </row>
    <row r="10964" spans="25:26">
      <c r="Y10964" s="1354"/>
      <c r="Z10964" s="1060"/>
    </row>
    <row r="10965" spans="25:26">
      <c r="Y10965" s="1354"/>
      <c r="Z10965" s="1060"/>
    </row>
    <row r="10966" spans="25:26">
      <c r="Y10966" s="1354"/>
      <c r="Z10966" s="1060"/>
    </row>
    <row r="10967" spans="25:26">
      <c r="Y10967" s="1354"/>
      <c r="Z10967" s="1060"/>
    </row>
    <row r="10968" spans="25:26">
      <c r="Y10968" s="1354"/>
      <c r="Z10968" s="1060"/>
    </row>
    <row r="10969" spans="25:26">
      <c r="Y10969" s="1354"/>
      <c r="Z10969" s="1060"/>
    </row>
    <row r="10970" spans="25:26">
      <c r="Y10970" s="1354"/>
      <c r="Z10970" s="1060"/>
    </row>
    <row r="10971" spans="25:26">
      <c r="Y10971" s="1354"/>
      <c r="Z10971" s="1060"/>
    </row>
    <row r="10972" spans="25:26">
      <c r="Y10972" s="1354"/>
      <c r="Z10972" s="1060"/>
    </row>
    <row r="10973" spans="25:26">
      <c r="Y10973" s="1354"/>
      <c r="Z10973" s="1060"/>
    </row>
    <row r="10974" spans="25:26">
      <c r="Y10974" s="1354"/>
      <c r="Z10974" s="1060"/>
    </row>
    <row r="10975" spans="25:26">
      <c r="Y10975" s="1354"/>
      <c r="Z10975" s="1060"/>
    </row>
    <row r="10976" spans="25:26">
      <c r="Y10976" s="1354"/>
      <c r="Z10976" s="1060"/>
    </row>
    <row r="10977" spans="25:26">
      <c r="Y10977" s="1354"/>
      <c r="Z10977" s="1060"/>
    </row>
    <row r="10978" spans="25:26">
      <c r="Y10978" s="1354"/>
      <c r="Z10978" s="1060"/>
    </row>
    <row r="10979" spans="25:26">
      <c r="Y10979" s="1354"/>
      <c r="Z10979" s="1060"/>
    </row>
    <row r="10980" spans="25:26">
      <c r="Y10980" s="1354"/>
      <c r="Z10980" s="1060"/>
    </row>
    <row r="10981" spans="25:26">
      <c r="Y10981" s="1354"/>
      <c r="Z10981" s="1060"/>
    </row>
    <row r="10982" spans="25:26">
      <c r="Y10982" s="1354"/>
      <c r="Z10982" s="1060"/>
    </row>
    <row r="10983" spans="25:26">
      <c r="Y10983" s="1354"/>
      <c r="Z10983" s="1060"/>
    </row>
    <row r="10984" spans="25:26">
      <c r="Y10984" s="1354"/>
      <c r="Z10984" s="1060"/>
    </row>
    <row r="10985" spans="25:26">
      <c r="Y10985" s="1354"/>
      <c r="Z10985" s="1060"/>
    </row>
    <row r="10986" spans="25:26">
      <c r="Y10986" s="1354"/>
      <c r="Z10986" s="1060"/>
    </row>
    <row r="10987" spans="25:26">
      <c r="Y10987" s="1354"/>
      <c r="Z10987" s="1060"/>
    </row>
    <row r="10988" spans="25:26">
      <c r="Y10988" s="1354"/>
      <c r="Z10988" s="1060"/>
    </row>
    <row r="10989" spans="25:26">
      <c r="Y10989" s="1354"/>
      <c r="Z10989" s="1060"/>
    </row>
    <row r="10990" spans="25:26">
      <c r="Y10990" s="1354"/>
      <c r="Z10990" s="1060"/>
    </row>
    <row r="10991" spans="25:26">
      <c r="Y10991" s="1354"/>
      <c r="Z10991" s="1060"/>
    </row>
    <row r="10992" spans="25:26">
      <c r="Y10992" s="1354"/>
      <c r="Z10992" s="1060"/>
    </row>
    <row r="10993" spans="25:26">
      <c r="Y10993" s="1354"/>
      <c r="Z10993" s="1060"/>
    </row>
    <row r="10994" spans="25:26">
      <c r="Y10994" s="1354"/>
      <c r="Z10994" s="1060"/>
    </row>
    <row r="10995" spans="25:26">
      <c r="Y10995" s="1354"/>
      <c r="Z10995" s="1060"/>
    </row>
    <row r="10996" spans="25:26">
      <c r="Y10996" s="1354"/>
      <c r="Z10996" s="1060"/>
    </row>
    <row r="10997" spans="25:26">
      <c r="Y10997" s="1354"/>
      <c r="Z10997" s="1060"/>
    </row>
    <row r="10998" spans="25:26">
      <c r="Y10998" s="1354"/>
      <c r="Z10998" s="1060"/>
    </row>
    <row r="10999" spans="25:26">
      <c r="Y10999" s="1354"/>
      <c r="Z10999" s="1060"/>
    </row>
    <row r="11000" spans="25:26">
      <c r="Y11000" s="1354"/>
      <c r="Z11000" s="1060"/>
    </row>
    <row r="11001" spans="25:26">
      <c r="Y11001" s="1354"/>
      <c r="Z11001" s="1060"/>
    </row>
    <row r="11002" spans="25:26">
      <c r="Y11002" s="1354"/>
      <c r="Z11002" s="1060"/>
    </row>
    <row r="11003" spans="25:26">
      <c r="Y11003" s="1354"/>
      <c r="Z11003" s="1060"/>
    </row>
    <row r="11004" spans="25:26">
      <c r="Y11004" s="1354"/>
      <c r="Z11004" s="1060"/>
    </row>
    <row r="11005" spans="25:26">
      <c r="Y11005" s="1354"/>
      <c r="Z11005" s="1060"/>
    </row>
    <row r="11006" spans="25:26">
      <c r="Y11006" s="1354"/>
      <c r="Z11006" s="1060"/>
    </row>
    <row r="11007" spans="25:26">
      <c r="Y11007" s="1354"/>
      <c r="Z11007" s="1060"/>
    </row>
    <row r="11008" spans="25:26">
      <c r="Y11008" s="1354"/>
      <c r="Z11008" s="1060"/>
    </row>
    <row r="11009" spans="25:26">
      <c r="Y11009" s="1354"/>
      <c r="Z11009" s="1060"/>
    </row>
    <row r="11010" spans="25:26">
      <c r="Y11010" s="1354"/>
      <c r="Z11010" s="1060"/>
    </row>
    <row r="11011" spans="25:26">
      <c r="Y11011" s="1354"/>
      <c r="Z11011" s="1060"/>
    </row>
    <row r="11012" spans="25:26">
      <c r="Y11012" s="1354"/>
      <c r="Z11012" s="1060"/>
    </row>
    <row r="11013" spans="25:26">
      <c r="Y11013" s="1354"/>
      <c r="Z11013" s="1060"/>
    </row>
    <row r="11014" spans="25:26">
      <c r="Y11014" s="1354"/>
      <c r="Z11014" s="1060"/>
    </row>
    <row r="11015" spans="25:26">
      <c r="Y11015" s="1354"/>
      <c r="Z11015" s="1060"/>
    </row>
    <row r="11016" spans="25:26">
      <c r="Y11016" s="1354"/>
      <c r="Z11016" s="1060"/>
    </row>
    <row r="11017" spans="25:26">
      <c r="Y11017" s="1354"/>
      <c r="Z11017" s="1060"/>
    </row>
    <row r="11018" spans="25:26">
      <c r="Y11018" s="1354"/>
      <c r="Z11018" s="1060"/>
    </row>
    <row r="11019" spans="25:26">
      <c r="Y11019" s="1354"/>
      <c r="Z11019" s="1060"/>
    </row>
    <row r="11020" spans="25:26">
      <c r="Y11020" s="1354"/>
      <c r="Z11020" s="1060"/>
    </row>
    <row r="11021" spans="25:26">
      <c r="Y11021" s="1354"/>
      <c r="Z11021" s="1060"/>
    </row>
    <row r="11022" spans="25:26">
      <c r="Y11022" s="1354"/>
      <c r="Z11022" s="1060"/>
    </row>
    <row r="11023" spans="25:26">
      <c r="Y11023" s="1354"/>
      <c r="Z11023" s="1060"/>
    </row>
    <row r="11024" spans="25:26">
      <c r="Y11024" s="1354"/>
      <c r="Z11024" s="1060"/>
    </row>
    <row r="11025" spans="25:26">
      <c r="Y11025" s="1354"/>
      <c r="Z11025" s="1060"/>
    </row>
    <row r="11026" spans="25:26">
      <c r="Y11026" s="1354"/>
      <c r="Z11026" s="1060"/>
    </row>
    <row r="11027" spans="25:26">
      <c r="Y11027" s="1354"/>
      <c r="Z11027" s="1060"/>
    </row>
    <row r="11028" spans="25:26">
      <c r="Y11028" s="1354"/>
      <c r="Z11028" s="1060"/>
    </row>
    <row r="11029" spans="25:26">
      <c r="Y11029" s="1354"/>
      <c r="Z11029" s="1060"/>
    </row>
    <row r="11030" spans="25:26">
      <c r="Y11030" s="1354"/>
      <c r="Z11030" s="1060"/>
    </row>
    <row r="11031" spans="25:26">
      <c r="Y11031" s="1354"/>
      <c r="Z11031" s="1060"/>
    </row>
    <row r="11032" spans="25:26">
      <c r="Y11032" s="1354"/>
      <c r="Z11032" s="1060"/>
    </row>
    <row r="11033" spans="25:26">
      <c r="Y11033" s="1354"/>
      <c r="Z11033" s="1060"/>
    </row>
    <row r="11034" spans="25:26">
      <c r="Y11034" s="1354"/>
      <c r="Z11034" s="1060"/>
    </row>
    <row r="11035" spans="25:26">
      <c r="Y11035" s="1354"/>
      <c r="Z11035" s="1060"/>
    </row>
    <row r="11036" spans="25:26">
      <c r="Y11036" s="1354"/>
      <c r="Z11036" s="1060"/>
    </row>
    <row r="11037" spans="25:26">
      <c r="Y11037" s="1354"/>
      <c r="Z11037" s="1060"/>
    </row>
    <row r="11038" spans="25:26">
      <c r="Y11038" s="1354"/>
      <c r="Z11038" s="1060"/>
    </row>
    <row r="11039" spans="25:26">
      <c r="Y11039" s="1354"/>
      <c r="Z11039" s="1060"/>
    </row>
    <row r="11040" spans="25:26">
      <c r="Y11040" s="1354"/>
      <c r="Z11040" s="1060"/>
    </row>
    <row r="11041" spans="25:26">
      <c r="Y11041" s="1354"/>
      <c r="Z11041" s="1060"/>
    </row>
    <row r="11042" spans="25:26">
      <c r="Y11042" s="1354"/>
      <c r="Z11042" s="1060"/>
    </row>
    <row r="11043" spans="25:26">
      <c r="Y11043" s="1354"/>
      <c r="Z11043" s="1060"/>
    </row>
    <row r="11044" spans="25:26">
      <c r="Y11044" s="1354"/>
      <c r="Z11044" s="1060"/>
    </row>
    <row r="11045" spans="25:26">
      <c r="Y11045" s="1354"/>
      <c r="Z11045" s="1060"/>
    </row>
    <row r="11046" spans="25:26">
      <c r="Y11046" s="1354"/>
      <c r="Z11046" s="1060"/>
    </row>
    <row r="11047" spans="25:26">
      <c r="Y11047" s="1354"/>
      <c r="Z11047" s="1060"/>
    </row>
    <row r="11048" spans="25:26">
      <c r="Y11048" s="1354"/>
      <c r="Z11048" s="1060"/>
    </row>
    <row r="11049" spans="25:26">
      <c r="Y11049" s="1354"/>
      <c r="Z11049" s="1060"/>
    </row>
    <row r="11050" spans="25:26">
      <c r="Y11050" s="1354"/>
      <c r="Z11050" s="1060"/>
    </row>
    <row r="11051" spans="25:26">
      <c r="Y11051" s="1354"/>
      <c r="Z11051" s="1060"/>
    </row>
    <row r="11052" spans="25:26">
      <c r="Y11052" s="1354"/>
      <c r="Z11052" s="1060"/>
    </row>
    <row r="11053" spans="25:26">
      <c r="Y11053" s="1354"/>
      <c r="Z11053" s="1060"/>
    </row>
    <row r="11054" spans="25:26">
      <c r="Y11054" s="1354"/>
      <c r="Z11054" s="1060"/>
    </row>
    <row r="11055" spans="25:26">
      <c r="Y11055" s="1354"/>
      <c r="Z11055" s="1060"/>
    </row>
    <row r="11056" spans="25:26">
      <c r="Y11056" s="1354"/>
      <c r="Z11056" s="1060"/>
    </row>
    <row r="11057" spans="25:26">
      <c r="Y11057" s="1354"/>
      <c r="Z11057" s="1060"/>
    </row>
    <row r="11058" spans="25:26">
      <c r="Y11058" s="1354"/>
      <c r="Z11058" s="1060"/>
    </row>
    <row r="11059" spans="25:26">
      <c r="Y11059" s="1354"/>
      <c r="Z11059" s="1060"/>
    </row>
    <row r="11060" spans="25:26">
      <c r="Y11060" s="1354"/>
      <c r="Z11060" s="1060"/>
    </row>
    <row r="11061" spans="25:26">
      <c r="Y11061" s="1354"/>
      <c r="Z11061" s="1060"/>
    </row>
    <row r="11062" spans="25:26">
      <c r="Y11062" s="1354"/>
      <c r="Z11062" s="1060"/>
    </row>
    <row r="11063" spans="25:26">
      <c r="Y11063" s="1354"/>
      <c r="Z11063" s="1060"/>
    </row>
    <row r="11064" spans="25:26">
      <c r="Y11064" s="1354"/>
      <c r="Z11064" s="1060"/>
    </row>
    <row r="11065" spans="25:26">
      <c r="Y11065" s="1354"/>
      <c r="Z11065" s="1060"/>
    </row>
    <row r="11066" spans="25:26">
      <c r="Y11066" s="1354"/>
      <c r="Z11066" s="1060"/>
    </row>
    <row r="11067" spans="25:26">
      <c r="Y11067" s="1354"/>
      <c r="Z11067" s="1060"/>
    </row>
    <row r="11068" spans="25:26">
      <c r="Y11068" s="1354"/>
      <c r="Z11068" s="1060"/>
    </row>
    <row r="11069" spans="25:26">
      <c r="Y11069" s="1354"/>
      <c r="Z11069" s="1060"/>
    </row>
    <row r="11070" spans="25:26">
      <c r="Y11070" s="1354"/>
      <c r="Z11070" s="1060"/>
    </row>
    <row r="11071" spans="25:26">
      <c r="Y11071" s="1354"/>
      <c r="Z11071" s="1060"/>
    </row>
    <row r="11072" spans="25:26">
      <c r="Y11072" s="1354"/>
      <c r="Z11072" s="1060"/>
    </row>
    <row r="11073" spans="25:26">
      <c r="Y11073" s="1354"/>
      <c r="Z11073" s="1060"/>
    </row>
    <row r="11074" spans="25:26">
      <c r="Y11074" s="1354"/>
      <c r="Z11074" s="1060"/>
    </row>
    <row r="11075" spans="25:26">
      <c r="Y11075" s="1354"/>
      <c r="Z11075" s="1060"/>
    </row>
    <row r="11076" spans="25:26">
      <c r="Y11076" s="1354"/>
      <c r="Z11076" s="1060"/>
    </row>
    <row r="11077" spans="25:26">
      <c r="Y11077" s="1354"/>
      <c r="Z11077" s="1060"/>
    </row>
    <row r="11078" spans="25:26">
      <c r="Y11078" s="1354"/>
      <c r="Z11078" s="1060"/>
    </row>
    <row r="11079" spans="25:26">
      <c r="Y11079" s="1354"/>
      <c r="Z11079" s="1060"/>
    </row>
    <row r="11080" spans="25:26">
      <c r="Y11080" s="1354"/>
      <c r="Z11080" s="1060"/>
    </row>
    <row r="11081" spans="25:26">
      <c r="Y11081" s="1354"/>
      <c r="Z11081" s="1060"/>
    </row>
    <row r="11082" spans="25:26">
      <c r="Y11082" s="1354"/>
      <c r="Z11082" s="1060"/>
    </row>
    <row r="11083" spans="25:26">
      <c r="Y11083" s="1354"/>
      <c r="Z11083" s="1060"/>
    </row>
    <row r="11084" spans="25:26">
      <c r="Y11084" s="1354"/>
      <c r="Z11084" s="1060"/>
    </row>
    <row r="11085" spans="25:26">
      <c r="Y11085" s="1354"/>
      <c r="Z11085" s="1060"/>
    </row>
    <row r="11086" spans="25:26">
      <c r="Y11086" s="1354"/>
      <c r="Z11086" s="1060"/>
    </row>
    <row r="11087" spans="25:26">
      <c r="Y11087" s="1354"/>
      <c r="Z11087" s="1060"/>
    </row>
    <row r="11088" spans="25:26">
      <c r="Y11088" s="1354"/>
      <c r="Z11088" s="1060"/>
    </row>
    <row r="11089" spans="25:26">
      <c r="Y11089" s="1354"/>
      <c r="Z11089" s="1060"/>
    </row>
    <row r="11090" spans="25:26">
      <c r="Y11090" s="1354"/>
      <c r="Z11090" s="1060"/>
    </row>
    <row r="11091" spans="25:26">
      <c r="Y11091" s="1354"/>
      <c r="Z11091" s="1060"/>
    </row>
    <row r="11092" spans="25:26">
      <c r="Y11092" s="1354"/>
      <c r="Z11092" s="1060"/>
    </row>
    <row r="11093" spans="25:26">
      <c r="Y11093" s="1354"/>
      <c r="Z11093" s="1060"/>
    </row>
    <row r="11094" spans="25:26">
      <c r="Y11094" s="1354"/>
      <c r="Z11094" s="1060"/>
    </row>
    <row r="11095" spans="25:26">
      <c r="Y11095" s="1354"/>
      <c r="Z11095" s="1060"/>
    </row>
    <row r="11096" spans="25:26">
      <c r="Y11096" s="1354"/>
      <c r="Z11096" s="1060"/>
    </row>
    <row r="11097" spans="25:26">
      <c r="Y11097" s="1354"/>
      <c r="Z11097" s="1060"/>
    </row>
    <row r="11098" spans="25:26">
      <c r="Y11098" s="1354"/>
      <c r="Z11098" s="1060"/>
    </row>
    <row r="11099" spans="25:26">
      <c r="Y11099" s="1354"/>
      <c r="Z11099" s="1060"/>
    </row>
    <row r="11100" spans="25:26">
      <c r="Y11100" s="1354"/>
      <c r="Z11100" s="1060"/>
    </row>
    <row r="11101" spans="25:26">
      <c r="Y11101" s="1354"/>
      <c r="Z11101" s="1060"/>
    </row>
    <row r="11102" spans="25:26">
      <c r="Y11102" s="1354"/>
      <c r="Z11102" s="1060"/>
    </row>
    <row r="11103" spans="25:26">
      <c r="Y11103" s="1354"/>
      <c r="Z11103" s="1060"/>
    </row>
    <row r="11104" spans="25:26">
      <c r="Y11104" s="1354"/>
      <c r="Z11104" s="1060"/>
    </row>
    <row r="11105" spans="25:26">
      <c r="Y11105" s="1354"/>
      <c r="Z11105" s="1060"/>
    </row>
    <row r="11106" spans="25:26">
      <c r="Y11106" s="1354"/>
      <c r="Z11106" s="1060"/>
    </row>
    <row r="11107" spans="25:26">
      <c r="Y11107" s="1354"/>
      <c r="Z11107" s="1060"/>
    </row>
    <row r="11108" spans="25:26">
      <c r="Y11108" s="1354"/>
      <c r="Z11108" s="1060"/>
    </row>
    <row r="11109" spans="25:26">
      <c r="Y11109" s="1354"/>
      <c r="Z11109" s="1060"/>
    </row>
    <row r="11110" spans="25:26">
      <c r="Y11110" s="1354"/>
      <c r="Z11110" s="1060"/>
    </row>
    <row r="11111" spans="25:26">
      <c r="Y11111" s="1354"/>
      <c r="Z11111" s="1060"/>
    </row>
    <row r="11112" spans="25:26">
      <c r="Y11112" s="1354"/>
      <c r="Z11112" s="1060"/>
    </row>
    <row r="11113" spans="25:26">
      <c r="Y11113" s="1354"/>
      <c r="Z11113" s="1060"/>
    </row>
    <row r="11114" spans="25:26">
      <c r="Y11114" s="1354"/>
      <c r="Z11114" s="1060"/>
    </row>
    <row r="11115" spans="25:26">
      <c r="Y11115" s="1354"/>
      <c r="Z11115" s="1060"/>
    </row>
    <row r="11116" spans="25:26">
      <c r="Y11116" s="1354"/>
      <c r="Z11116" s="1060"/>
    </row>
    <row r="11117" spans="25:26">
      <c r="Y11117" s="1354"/>
      <c r="Z11117" s="1060"/>
    </row>
    <row r="11118" spans="25:26">
      <c r="Y11118" s="1354"/>
      <c r="Z11118" s="1060"/>
    </row>
    <row r="11119" spans="25:26">
      <c r="Y11119" s="1354"/>
      <c r="Z11119" s="1060"/>
    </row>
    <row r="11120" spans="25:26">
      <c r="Y11120" s="1354"/>
      <c r="Z11120" s="1060"/>
    </row>
    <row r="11121" spans="25:26">
      <c r="Y11121" s="1354"/>
      <c r="Z11121" s="1060"/>
    </row>
    <row r="11122" spans="25:26">
      <c r="Y11122" s="1354"/>
      <c r="Z11122" s="1060"/>
    </row>
    <row r="11123" spans="25:26">
      <c r="Y11123" s="1354"/>
      <c r="Z11123" s="1060"/>
    </row>
    <row r="11124" spans="25:26">
      <c r="Y11124" s="1354"/>
      <c r="Z11124" s="1060"/>
    </row>
    <row r="11125" spans="25:26">
      <c r="Y11125" s="1354"/>
      <c r="Z11125" s="1060"/>
    </row>
    <row r="11126" spans="25:26">
      <c r="Y11126" s="1354"/>
      <c r="Z11126" s="1060"/>
    </row>
    <row r="11127" spans="25:26">
      <c r="Y11127" s="1354"/>
      <c r="Z11127" s="1060"/>
    </row>
    <row r="11128" spans="25:26">
      <c r="Y11128" s="1354"/>
      <c r="Z11128" s="1060"/>
    </row>
    <row r="11129" spans="25:26">
      <c r="Y11129" s="1354"/>
      <c r="Z11129" s="1060"/>
    </row>
    <row r="11130" spans="25:26">
      <c r="Y11130" s="1354"/>
      <c r="Z11130" s="1060"/>
    </row>
    <row r="11131" spans="25:26">
      <c r="Y11131" s="1354"/>
      <c r="Z11131" s="1060"/>
    </row>
    <row r="11132" spans="25:26">
      <c r="Y11132" s="1354"/>
      <c r="Z11132" s="1060"/>
    </row>
    <row r="11133" spans="25:26">
      <c r="Y11133" s="1354"/>
      <c r="Z11133" s="1060"/>
    </row>
    <row r="11134" spans="25:26">
      <c r="Y11134" s="1354"/>
      <c r="Z11134" s="1060"/>
    </row>
    <row r="11135" spans="25:26">
      <c r="Y11135" s="1354"/>
      <c r="Z11135" s="1060"/>
    </row>
    <row r="11136" spans="25:26">
      <c r="Y11136" s="1354"/>
      <c r="Z11136" s="1060"/>
    </row>
    <row r="11137" spans="25:26">
      <c r="Y11137" s="1354"/>
      <c r="Z11137" s="1060"/>
    </row>
    <row r="11138" spans="25:26">
      <c r="Y11138" s="1354"/>
      <c r="Z11138" s="1060"/>
    </row>
    <row r="11139" spans="25:26">
      <c r="Y11139" s="1354"/>
      <c r="Z11139" s="1060"/>
    </row>
    <row r="11140" spans="25:26">
      <c r="Y11140" s="1354"/>
      <c r="Z11140" s="1060"/>
    </row>
    <row r="11141" spans="25:26">
      <c r="Y11141" s="1354"/>
      <c r="Z11141" s="1060"/>
    </row>
    <row r="11142" spans="25:26">
      <c r="Y11142" s="1354"/>
      <c r="Z11142" s="1060"/>
    </row>
    <row r="11143" spans="25:26">
      <c r="Y11143" s="1354"/>
      <c r="Z11143" s="1060"/>
    </row>
    <row r="11144" spans="25:26">
      <c r="Y11144" s="1354"/>
      <c r="Z11144" s="1060"/>
    </row>
    <row r="11145" spans="25:26">
      <c r="Y11145" s="1354"/>
      <c r="Z11145" s="1060"/>
    </row>
    <row r="11146" spans="25:26">
      <c r="Y11146" s="1354"/>
      <c r="Z11146" s="1060"/>
    </row>
    <row r="11147" spans="25:26">
      <c r="Y11147" s="1354"/>
      <c r="Z11147" s="1060"/>
    </row>
    <row r="11148" spans="25:26">
      <c r="Y11148" s="1354"/>
      <c r="Z11148" s="1060"/>
    </row>
    <row r="11149" spans="25:26">
      <c r="Y11149" s="1354"/>
      <c r="Z11149" s="1060"/>
    </row>
    <row r="11150" spans="25:26">
      <c r="Y11150" s="1354"/>
      <c r="Z11150" s="1060"/>
    </row>
    <row r="11151" spans="25:26">
      <c r="Y11151" s="1354"/>
      <c r="Z11151" s="1060"/>
    </row>
    <row r="11152" spans="25:26">
      <c r="Y11152" s="1354"/>
      <c r="Z11152" s="1060"/>
    </row>
    <row r="11153" spans="25:26">
      <c r="Y11153" s="1354"/>
      <c r="Z11153" s="1060"/>
    </row>
    <row r="11154" spans="25:26">
      <c r="Y11154" s="1354"/>
      <c r="Z11154" s="1060"/>
    </row>
    <row r="11155" spans="25:26">
      <c r="Y11155" s="1354"/>
      <c r="Z11155" s="1060"/>
    </row>
    <row r="11156" spans="25:26">
      <c r="Y11156" s="1354"/>
      <c r="Z11156" s="1060"/>
    </row>
    <row r="11157" spans="25:26">
      <c r="Y11157" s="1354"/>
      <c r="Z11157" s="1060"/>
    </row>
    <row r="11158" spans="25:26">
      <c r="Y11158" s="1354"/>
      <c r="Z11158" s="1060"/>
    </row>
    <row r="11159" spans="25:26">
      <c r="Y11159" s="1354"/>
      <c r="Z11159" s="1060"/>
    </row>
    <row r="11160" spans="25:26">
      <c r="Y11160" s="1354"/>
      <c r="Z11160" s="1060"/>
    </row>
    <row r="11161" spans="25:26">
      <c r="Y11161" s="1354"/>
      <c r="Z11161" s="1060"/>
    </row>
    <row r="11162" spans="25:26">
      <c r="Y11162" s="1354"/>
      <c r="Z11162" s="1060"/>
    </row>
    <row r="11163" spans="25:26">
      <c r="Y11163" s="1354"/>
      <c r="Z11163" s="1060"/>
    </row>
    <row r="11164" spans="25:26">
      <c r="Y11164" s="1354"/>
      <c r="Z11164" s="1060"/>
    </row>
    <row r="11165" spans="25:26">
      <c r="Y11165" s="1354"/>
      <c r="Z11165" s="1060"/>
    </row>
    <row r="11166" spans="25:26">
      <c r="Y11166" s="1354"/>
      <c r="Z11166" s="1060"/>
    </row>
    <row r="11167" spans="25:26">
      <c r="Y11167" s="1354"/>
      <c r="Z11167" s="1060"/>
    </row>
    <row r="11168" spans="25:26">
      <c r="Y11168" s="1354"/>
      <c r="Z11168" s="1060"/>
    </row>
    <row r="11169" spans="25:26">
      <c r="Y11169" s="1354"/>
      <c r="Z11169" s="1060"/>
    </row>
    <row r="11170" spans="25:26">
      <c r="Y11170" s="1354"/>
      <c r="Z11170" s="1060"/>
    </row>
    <row r="11171" spans="25:26">
      <c r="Y11171" s="1354"/>
      <c r="Z11171" s="1060"/>
    </row>
    <row r="11172" spans="25:26">
      <c r="Y11172" s="1354"/>
      <c r="Z11172" s="1060"/>
    </row>
    <row r="11173" spans="25:26">
      <c r="Y11173" s="1354"/>
      <c r="Z11173" s="1060"/>
    </row>
    <row r="11174" spans="25:26">
      <c r="Y11174" s="1354"/>
      <c r="Z11174" s="1060"/>
    </row>
    <row r="11175" spans="25:26">
      <c r="Y11175" s="1354"/>
      <c r="Z11175" s="1060"/>
    </row>
    <row r="11176" spans="25:26">
      <c r="Y11176" s="1354"/>
      <c r="Z11176" s="1060"/>
    </row>
    <row r="11177" spans="25:26">
      <c r="Y11177" s="1354"/>
      <c r="Z11177" s="1060"/>
    </row>
    <row r="11178" spans="25:26">
      <c r="Y11178" s="1354"/>
      <c r="Z11178" s="1060"/>
    </row>
    <row r="11179" spans="25:26">
      <c r="Y11179" s="1354"/>
      <c r="Z11179" s="1060"/>
    </row>
    <row r="11180" spans="25:26">
      <c r="Y11180" s="1354"/>
      <c r="Z11180" s="1060"/>
    </row>
    <row r="11181" spans="25:26">
      <c r="Y11181" s="1354"/>
      <c r="Z11181" s="1060"/>
    </row>
    <row r="11182" spans="25:26">
      <c r="Y11182" s="1354"/>
      <c r="Z11182" s="1060"/>
    </row>
    <row r="11183" spans="25:26">
      <c r="Y11183" s="1354"/>
      <c r="Z11183" s="1060"/>
    </row>
    <row r="11184" spans="25:26">
      <c r="Y11184" s="1354"/>
      <c r="Z11184" s="1060"/>
    </row>
    <row r="11185" spans="25:26">
      <c r="Y11185" s="1354"/>
      <c r="Z11185" s="1060"/>
    </row>
    <row r="11186" spans="25:26">
      <c r="Y11186" s="1354"/>
      <c r="Z11186" s="1060"/>
    </row>
    <row r="11187" spans="25:26">
      <c r="Y11187" s="1354"/>
      <c r="Z11187" s="1060"/>
    </row>
    <row r="11188" spans="25:26">
      <c r="Y11188" s="1354"/>
      <c r="Z11188" s="1060"/>
    </row>
    <row r="11189" spans="25:26">
      <c r="Y11189" s="1354"/>
      <c r="Z11189" s="1060"/>
    </row>
    <row r="11190" spans="25:26">
      <c r="Y11190" s="1354"/>
      <c r="Z11190" s="1060"/>
    </row>
    <row r="11191" spans="25:26">
      <c r="Y11191" s="1354"/>
      <c r="Z11191" s="1060"/>
    </row>
    <row r="11192" spans="25:26">
      <c r="Y11192" s="1354"/>
      <c r="Z11192" s="1060"/>
    </row>
    <row r="11193" spans="25:26">
      <c r="Y11193" s="1354"/>
      <c r="Z11193" s="1060"/>
    </row>
    <row r="11194" spans="25:26">
      <c r="Y11194" s="1354"/>
      <c r="Z11194" s="1060"/>
    </row>
    <row r="11195" spans="25:26">
      <c r="Y11195" s="1354"/>
      <c r="Z11195" s="1060"/>
    </row>
    <row r="11196" spans="25:26">
      <c r="Y11196" s="1354"/>
      <c r="Z11196" s="1060"/>
    </row>
    <row r="11197" spans="25:26">
      <c r="Y11197" s="1354"/>
      <c r="Z11197" s="1060"/>
    </row>
    <row r="11198" spans="25:26">
      <c r="Y11198" s="1354"/>
      <c r="Z11198" s="1060"/>
    </row>
    <row r="11199" spans="25:26">
      <c r="Y11199" s="1354"/>
      <c r="Z11199" s="1060"/>
    </row>
    <row r="11200" spans="25:26">
      <c r="Y11200" s="1354"/>
      <c r="Z11200" s="1060"/>
    </row>
    <row r="11201" spans="25:26">
      <c r="Y11201" s="1354"/>
      <c r="Z11201" s="1060"/>
    </row>
    <row r="11202" spans="25:26">
      <c r="Y11202" s="1354"/>
      <c r="Z11202" s="1060"/>
    </row>
    <row r="11203" spans="25:26">
      <c r="Y11203" s="1354"/>
      <c r="Z11203" s="1060"/>
    </row>
    <row r="11204" spans="25:26">
      <c r="Y11204" s="1354"/>
      <c r="Z11204" s="1060"/>
    </row>
    <row r="11205" spans="25:26">
      <c r="Y11205" s="1354"/>
      <c r="Z11205" s="1060"/>
    </row>
    <row r="11206" spans="25:26">
      <c r="Y11206" s="1354"/>
      <c r="Z11206" s="1060"/>
    </row>
    <row r="11207" spans="25:26">
      <c r="Y11207" s="1354"/>
      <c r="Z11207" s="1060"/>
    </row>
    <row r="11208" spans="25:26">
      <c r="Y11208" s="1354"/>
      <c r="Z11208" s="1060"/>
    </row>
    <row r="11209" spans="25:26">
      <c r="Y11209" s="1354"/>
      <c r="Z11209" s="1060"/>
    </row>
    <row r="11210" spans="25:26">
      <c r="Y11210" s="1354"/>
      <c r="Z11210" s="1060"/>
    </row>
    <row r="11211" spans="25:26">
      <c r="Y11211" s="1354"/>
      <c r="Z11211" s="1060"/>
    </row>
    <row r="11212" spans="25:26">
      <c r="Y11212" s="1354"/>
      <c r="Z11212" s="1060"/>
    </row>
    <row r="11213" spans="25:26">
      <c r="Y11213" s="1354"/>
      <c r="Z11213" s="1060"/>
    </row>
    <row r="11214" spans="25:26">
      <c r="Y11214" s="1354"/>
      <c r="Z11214" s="1060"/>
    </row>
    <row r="11215" spans="25:26">
      <c r="Y11215" s="1354"/>
      <c r="Z11215" s="1060"/>
    </row>
    <row r="11216" spans="25:26">
      <c r="Y11216" s="1354"/>
      <c r="Z11216" s="1060"/>
    </row>
    <row r="11217" spans="25:26">
      <c r="Y11217" s="1354"/>
      <c r="Z11217" s="1060"/>
    </row>
    <row r="11218" spans="25:26">
      <c r="Y11218" s="1354"/>
      <c r="Z11218" s="1060"/>
    </row>
    <row r="11219" spans="25:26">
      <c r="Y11219" s="1354"/>
      <c r="Z11219" s="1060"/>
    </row>
    <row r="11220" spans="25:26">
      <c r="Y11220" s="1354"/>
      <c r="Z11220" s="1060"/>
    </row>
    <row r="11221" spans="25:26">
      <c r="Y11221" s="1354"/>
      <c r="Z11221" s="1060"/>
    </row>
    <row r="11222" spans="25:26">
      <c r="Y11222" s="1354"/>
      <c r="Z11222" s="1060"/>
    </row>
    <row r="11223" spans="25:26">
      <c r="Y11223" s="1354"/>
      <c r="Z11223" s="1060"/>
    </row>
    <row r="11224" spans="25:26">
      <c r="Y11224" s="1354"/>
      <c r="Z11224" s="1060"/>
    </row>
    <row r="11225" spans="25:26">
      <c r="Y11225" s="1354"/>
      <c r="Z11225" s="1060"/>
    </row>
    <row r="11226" spans="25:26">
      <c r="Y11226" s="1354"/>
      <c r="Z11226" s="1060"/>
    </row>
    <row r="11227" spans="25:26">
      <c r="Y11227" s="1354"/>
      <c r="Z11227" s="1060"/>
    </row>
    <row r="11228" spans="25:26">
      <c r="Y11228" s="1354"/>
      <c r="Z11228" s="1060"/>
    </row>
    <row r="11229" spans="25:26">
      <c r="Y11229" s="1354"/>
      <c r="Z11229" s="1060"/>
    </row>
    <row r="11230" spans="25:26">
      <c r="Y11230" s="1354"/>
      <c r="Z11230" s="1060"/>
    </row>
    <row r="11231" spans="25:26">
      <c r="Y11231" s="1354"/>
      <c r="Z11231" s="1060"/>
    </row>
    <row r="11232" spans="25:26">
      <c r="Y11232" s="1354"/>
      <c r="Z11232" s="1060"/>
    </row>
    <row r="11233" spans="25:26">
      <c r="Y11233" s="1354"/>
      <c r="Z11233" s="1060"/>
    </row>
    <row r="11234" spans="25:26">
      <c r="Y11234" s="1354"/>
      <c r="Z11234" s="1060"/>
    </row>
    <row r="11235" spans="25:26">
      <c r="Y11235" s="1354"/>
      <c r="Z11235" s="1060"/>
    </row>
    <row r="11236" spans="25:26">
      <c r="Y11236" s="1354"/>
      <c r="Z11236" s="1060"/>
    </row>
    <row r="11237" spans="25:26">
      <c r="Y11237" s="1354"/>
      <c r="Z11237" s="1060"/>
    </row>
    <row r="11238" spans="25:26">
      <c r="Y11238" s="1354"/>
      <c r="Z11238" s="1060"/>
    </row>
    <row r="11239" spans="25:26">
      <c r="Y11239" s="1354"/>
      <c r="Z11239" s="1060"/>
    </row>
    <row r="11240" spans="25:26">
      <c r="Y11240" s="1354"/>
      <c r="Z11240" s="1060"/>
    </row>
    <row r="11241" spans="25:26">
      <c r="Y11241" s="1354"/>
      <c r="Z11241" s="1060"/>
    </row>
    <row r="11242" spans="25:26">
      <c r="Y11242" s="1354"/>
      <c r="Z11242" s="1060"/>
    </row>
    <row r="11243" spans="25:26">
      <c r="Y11243" s="1354"/>
      <c r="Z11243" s="1060"/>
    </row>
    <row r="11244" spans="25:26">
      <c r="Y11244" s="1354"/>
      <c r="Z11244" s="1060"/>
    </row>
    <row r="11245" spans="25:26">
      <c r="Y11245" s="1354"/>
      <c r="Z11245" s="1060"/>
    </row>
    <row r="11246" spans="25:26">
      <c r="Y11246" s="1354"/>
      <c r="Z11246" s="1060"/>
    </row>
    <row r="11247" spans="25:26">
      <c r="Y11247" s="1354"/>
      <c r="Z11247" s="1060"/>
    </row>
    <row r="11248" spans="25:26">
      <c r="Y11248" s="1354"/>
      <c r="Z11248" s="1060"/>
    </row>
    <row r="11249" spans="25:26">
      <c r="Y11249" s="1354"/>
      <c r="Z11249" s="1060"/>
    </row>
    <row r="11250" spans="25:26">
      <c r="Y11250" s="1354"/>
      <c r="Z11250" s="1060"/>
    </row>
    <row r="11251" spans="25:26">
      <c r="Y11251" s="1354"/>
      <c r="Z11251" s="1060"/>
    </row>
    <row r="11252" spans="25:26">
      <c r="Y11252" s="1354"/>
      <c r="Z11252" s="1060"/>
    </row>
    <row r="11253" spans="25:26">
      <c r="Y11253" s="1354"/>
      <c r="Z11253" s="1060"/>
    </row>
    <row r="11254" spans="25:26">
      <c r="Y11254" s="1354"/>
      <c r="Z11254" s="1060"/>
    </row>
    <row r="11255" spans="25:26">
      <c r="Y11255" s="1354"/>
      <c r="Z11255" s="1060"/>
    </row>
    <row r="11256" spans="25:26">
      <c r="Y11256" s="1354"/>
      <c r="Z11256" s="1060"/>
    </row>
    <row r="11257" spans="25:26">
      <c r="Y11257" s="1354"/>
      <c r="Z11257" s="1060"/>
    </row>
    <row r="11258" spans="25:26">
      <c r="Y11258" s="1354"/>
      <c r="Z11258" s="1060"/>
    </row>
    <row r="11259" spans="25:26">
      <c r="Y11259" s="1354"/>
      <c r="Z11259" s="1060"/>
    </row>
    <row r="11260" spans="25:26">
      <c r="Y11260" s="1354"/>
      <c r="Z11260" s="1060"/>
    </row>
    <row r="11261" spans="25:26">
      <c r="Y11261" s="1354"/>
      <c r="Z11261" s="1060"/>
    </row>
    <row r="11262" spans="25:26">
      <c r="Y11262" s="1354"/>
      <c r="Z11262" s="1060"/>
    </row>
    <row r="11263" spans="25:26">
      <c r="Y11263" s="1354"/>
      <c r="Z11263" s="1060"/>
    </row>
    <row r="11264" spans="25:26">
      <c r="Y11264" s="1354"/>
      <c r="Z11264" s="1060"/>
    </row>
    <row r="11265" spans="25:26">
      <c r="Y11265" s="1354"/>
      <c r="Z11265" s="1060"/>
    </row>
    <row r="11266" spans="25:26">
      <c r="Y11266" s="1354"/>
      <c r="Z11266" s="1060"/>
    </row>
    <row r="11267" spans="25:26">
      <c r="Y11267" s="1354"/>
      <c r="Z11267" s="1060"/>
    </row>
    <row r="11268" spans="25:26">
      <c r="Y11268" s="1354"/>
      <c r="Z11268" s="1060"/>
    </row>
    <row r="11269" spans="25:26">
      <c r="Y11269" s="1354"/>
      <c r="Z11269" s="1060"/>
    </row>
    <row r="11270" spans="25:26">
      <c r="Y11270" s="1354"/>
      <c r="Z11270" s="1060"/>
    </row>
    <row r="11271" spans="25:26">
      <c r="Y11271" s="1354"/>
      <c r="Z11271" s="1060"/>
    </row>
    <row r="11272" spans="25:26">
      <c r="Y11272" s="1354"/>
      <c r="Z11272" s="1060"/>
    </row>
    <row r="11273" spans="25:26">
      <c r="Y11273" s="1354"/>
      <c r="Z11273" s="1060"/>
    </row>
    <row r="11274" spans="25:26">
      <c r="Y11274" s="1354"/>
      <c r="Z11274" s="1060"/>
    </row>
    <row r="11275" spans="25:26">
      <c r="Y11275" s="1354"/>
      <c r="Z11275" s="1060"/>
    </row>
    <row r="11276" spans="25:26">
      <c r="Y11276" s="1354"/>
      <c r="Z11276" s="1060"/>
    </row>
    <row r="11277" spans="25:26">
      <c r="Y11277" s="1354"/>
      <c r="Z11277" s="1060"/>
    </row>
    <row r="11278" spans="25:26">
      <c r="Y11278" s="1354"/>
      <c r="Z11278" s="1060"/>
    </row>
    <row r="11279" spans="25:26">
      <c r="Y11279" s="1354"/>
      <c r="Z11279" s="1060"/>
    </row>
    <row r="11280" spans="25:26">
      <c r="Y11280" s="1354"/>
      <c r="Z11280" s="1060"/>
    </row>
    <row r="11281" spans="25:26">
      <c r="Y11281" s="1354"/>
      <c r="Z11281" s="1060"/>
    </row>
    <row r="11282" spans="25:26">
      <c r="Y11282" s="1354"/>
      <c r="Z11282" s="1060"/>
    </row>
    <row r="11283" spans="25:26">
      <c r="Y11283" s="1354"/>
      <c r="Z11283" s="1060"/>
    </row>
    <row r="11284" spans="25:26">
      <c r="Y11284" s="1354"/>
      <c r="Z11284" s="1060"/>
    </row>
    <row r="11285" spans="25:26">
      <c r="Y11285" s="1354"/>
      <c r="Z11285" s="1060"/>
    </row>
    <row r="11286" spans="25:26">
      <c r="Y11286" s="1354"/>
      <c r="Z11286" s="1060"/>
    </row>
    <row r="11287" spans="25:26">
      <c r="Y11287" s="1354"/>
      <c r="Z11287" s="1060"/>
    </row>
    <row r="11288" spans="25:26">
      <c r="Y11288" s="1354"/>
      <c r="Z11288" s="1060"/>
    </row>
    <row r="11289" spans="25:26">
      <c r="Y11289" s="1354"/>
      <c r="Z11289" s="1060"/>
    </row>
    <row r="11290" spans="25:26">
      <c r="Y11290" s="1354"/>
      <c r="Z11290" s="1060"/>
    </row>
    <row r="11291" spans="25:26">
      <c r="Y11291" s="1354"/>
      <c r="Z11291" s="1060"/>
    </row>
    <row r="11292" spans="25:26">
      <c r="Y11292" s="1354"/>
      <c r="Z11292" s="1060"/>
    </row>
    <row r="11293" spans="25:26">
      <c r="Y11293" s="1354"/>
      <c r="Z11293" s="1060"/>
    </row>
    <row r="11294" spans="25:26">
      <c r="Y11294" s="1354"/>
      <c r="Z11294" s="1060"/>
    </row>
    <row r="11295" spans="25:26">
      <c r="Y11295" s="1354"/>
      <c r="Z11295" s="1060"/>
    </row>
    <row r="11296" spans="25:26">
      <c r="Y11296" s="1354"/>
      <c r="Z11296" s="1060"/>
    </row>
    <row r="11297" spans="25:26">
      <c r="Y11297" s="1354"/>
      <c r="Z11297" s="1060"/>
    </row>
    <row r="11298" spans="25:26">
      <c r="Y11298" s="1354"/>
      <c r="Z11298" s="1060"/>
    </row>
    <row r="11299" spans="25:26">
      <c r="Y11299" s="1354"/>
      <c r="Z11299" s="1060"/>
    </row>
    <row r="11300" spans="25:26">
      <c r="Y11300" s="1354"/>
      <c r="Z11300" s="1060"/>
    </row>
    <row r="11301" spans="25:26">
      <c r="Y11301" s="1354"/>
      <c r="Z11301" s="1060"/>
    </row>
    <row r="11302" spans="25:26">
      <c r="Y11302" s="1354"/>
      <c r="Z11302" s="1060"/>
    </row>
    <row r="11303" spans="25:26">
      <c r="Y11303" s="1354"/>
      <c r="Z11303" s="1060"/>
    </row>
    <row r="11304" spans="25:26">
      <c r="Y11304" s="1354"/>
      <c r="Z11304" s="1060"/>
    </row>
    <row r="11305" spans="25:26">
      <c r="Y11305" s="1354"/>
      <c r="Z11305" s="1060"/>
    </row>
    <row r="11306" spans="25:26">
      <c r="Y11306" s="1354"/>
      <c r="Z11306" s="1060"/>
    </row>
    <row r="11307" spans="25:26">
      <c r="Y11307" s="1354"/>
      <c r="Z11307" s="1060"/>
    </row>
    <row r="11308" spans="25:26">
      <c r="Y11308" s="1354"/>
      <c r="Z11308" s="1060"/>
    </row>
    <row r="11309" spans="25:26">
      <c r="Y11309" s="1354"/>
      <c r="Z11309" s="1060"/>
    </row>
    <row r="11310" spans="25:26">
      <c r="Y11310" s="1354"/>
      <c r="Z11310" s="1060"/>
    </row>
    <row r="11311" spans="25:26">
      <c r="Y11311" s="1354"/>
      <c r="Z11311" s="1060"/>
    </row>
    <row r="11312" spans="25:26">
      <c r="Y11312" s="1354"/>
      <c r="Z11312" s="1060"/>
    </row>
    <row r="11313" spans="25:26">
      <c r="Y11313" s="1354"/>
      <c r="Z11313" s="1060"/>
    </row>
    <row r="11314" spans="25:26">
      <c r="Y11314" s="1354"/>
      <c r="Z11314" s="1060"/>
    </row>
    <row r="11315" spans="25:26">
      <c r="Y11315" s="1354"/>
      <c r="Z11315" s="1060"/>
    </row>
    <row r="11316" spans="25:26">
      <c r="Y11316" s="1354"/>
      <c r="Z11316" s="1060"/>
    </row>
    <row r="11317" spans="25:26">
      <c r="Y11317" s="1354"/>
      <c r="Z11317" s="1060"/>
    </row>
    <row r="11318" spans="25:26">
      <c r="Y11318" s="1354"/>
      <c r="Z11318" s="1060"/>
    </row>
    <row r="11319" spans="25:26">
      <c r="Y11319" s="1354"/>
      <c r="Z11319" s="1060"/>
    </row>
    <row r="11320" spans="25:26">
      <c r="Y11320" s="1354"/>
      <c r="Z11320" s="1060"/>
    </row>
    <row r="11321" spans="25:26">
      <c r="Y11321" s="1354"/>
      <c r="Z11321" s="1060"/>
    </row>
    <row r="11322" spans="25:26">
      <c r="Y11322" s="1354"/>
      <c r="Z11322" s="1060"/>
    </row>
    <row r="11323" spans="25:26">
      <c r="Y11323" s="1354"/>
      <c r="Z11323" s="1060"/>
    </row>
    <row r="11324" spans="25:26">
      <c r="Y11324" s="1354"/>
      <c r="Z11324" s="1060"/>
    </row>
    <row r="11325" spans="25:26">
      <c r="Y11325" s="1354"/>
      <c r="Z11325" s="1060"/>
    </row>
    <row r="11326" spans="25:26">
      <c r="Y11326" s="1354"/>
      <c r="Z11326" s="1060"/>
    </row>
    <row r="11327" spans="25:26">
      <c r="Y11327" s="1354"/>
      <c r="Z11327" s="1060"/>
    </row>
    <row r="11328" spans="25:26">
      <c r="Y11328" s="1354"/>
      <c r="Z11328" s="1060"/>
    </row>
    <row r="11329" spans="25:26">
      <c r="Y11329" s="1354"/>
      <c r="Z11329" s="1060"/>
    </row>
    <row r="11330" spans="25:26">
      <c r="Y11330" s="1354"/>
      <c r="Z11330" s="1060"/>
    </row>
    <row r="11331" spans="25:26">
      <c r="Y11331" s="1354"/>
      <c r="Z11331" s="1060"/>
    </row>
    <row r="11332" spans="25:26">
      <c r="Y11332" s="1354"/>
      <c r="Z11332" s="1060"/>
    </row>
    <row r="11333" spans="25:26">
      <c r="Y11333" s="1354"/>
      <c r="Z11333" s="1060"/>
    </row>
    <row r="11334" spans="25:26">
      <c r="Y11334" s="1354"/>
      <c r="Z11334" s="1060"/>
    </row>
    <row r="11335" spans="25:26">
      <c r="Y11335" s="1354"/>
      <c r="Z11335" s="1060"/>
    </row>
    <row r="11336" spans="25:26">
      <c r="Y11336" s="1354"/>
      <c r="Z11336" s="1060"/>
    </row>
    <row r="11337" spans="25:26">
      <c r="Y11337" s="1354"/>
      <c r="Z11337" s="1060"/>
    </row>
    <row r="11338" spans="25:26">
      <c r="Y11338" s="1354"/>
      <c r="Z11338" s="1060"/>
    </row>
    <row r="11339" spans="25:26">
      <c r="Y11339" s="1354"/>
      <c r="Z11339" s="1060"/>
    </row>
    <row r="11340" spans="25:26">
      <c r="Y11340" s="1354"/>
      <c r="Z11340" s="1060"/>
    </row>
    <row r="11341" spans="25:26">
      <c r="Y11341" s="1354"/>
      <c r="Z11341" s="1060"/>
    </row>
    <row r="11342" spans="25:26">
      <c r="Y11342" s="1354"/>
      <c r="Z11342" s="1060"/>
    </row>
    <row r="11343" spans="25:26">
      <c r="Y11343" s="1354"/>
      <c r="Z11343" s="1060"/>
    </row>
    <row r="11344" spans="25:26">
      <c r="Y11344" s="1354"/>
      <c r="Z11344" s="1060"/>
    </row>
    <row r="11345" spans="25:26">
      <c r="Y11345" s="1354"/>
      <c r="Z11345" s="1060"/>
    </row>
    <row r="11346" spans="25:26">
      <c r="Y11346" s="1354"/>
      <c r="Z11346" s="1060"/>
    </row>
    <row r="11347" spans="25:26">
      <c r="Y11347" s="1354"/>
      <c r="Z11347" s="1060"/>
    </row>
    <row r="11348" spans="25:26">
      <c r="Y11348" s="1354"/>
      <c r="Z11348" s="1060"/>
    </row>
    <row r="11349" spans="25:26">
      <c r="Y11349" s="1354"/>
      <c r="Z11349" s="1060"/>
    </row>
    <row r="11350" spans="25:26">
      <c r="Y11350" s="1354"/>
      <c r="Z11350" s="1060"/>
    </row>
    <row r="11351" spans="25:26">
      <c r="Y11351" s="1354"/>
      <c r="Z11351" s="1060"/>
    </row>
    <row r="11352" spans="25:26">
      <c r="Y11352" s="1354"/>
      <c r="Z11352" s="1060"/>
    </row>
    <row r="11353" spans="25:26">
      <c r="Y11353" s="1354"/>
      <c r="Z11353" s="1060"/>
    </row>
    <row r="11354" spans="25:26">
      <c r="Y11354" s="1354"/>
      <c r="Z11354" s="1060"/>
    </row>
    <row r="11355" spans="25:26">
      <c r="Y11355" s="1354"/>
      <c r="Z11355" s="1060"/>
    </row>
    <row r="11356" spans="25:26">
      <c r="Y11356" s="1354"/>
      <c r="Z11356" s="1060"/>
    </row>
    <row r="11357" spans="25:26">
      <c r="Y11357" s="1354"/>
      <c r="Z11357" s="1060"/>
    </row>
    <row r="11358" spans="25:26">
      <c r="Y11358" s="1354"/>
      <c r="Z11358" s="1060"/>
    </row>
    <row r="11359" spans="25:26">
      <c r="Y11359" s="1354"/>
      <c r="Z11359" s="1060"/>
    </row>
    <row r="11360" spans="25:26">
      <c r="Y11360" s="1354"/>
      <c r="Z11360" s="1060"/>
    </row>
    <row r="11361" spans="25:26">
      <c r="Y11361" s="1354"/>
      <c r="Z11361" s="1060"/>
    </row>
    <row r="11362" spans="25:26">
      <c r="Y11362" s="1354"/>
      <c r="Z11362" s="1060"/>
    </row>
    <row r="11363" spans="25:26">
      <c r="Y11363" s="1354"/>
      <c r="Z11363" s="1060"/>
    </row>
    <row r="11364" spans="25:26">
      <c r="Y11364" s="1354"/>
      <c r="Z11364" s="1060"/>
    </row>
    <row r="11365" spans="25:26">
      <c r="Y11365" s="1354"/>
      <c r="Z11365" s="1060"/>
    </row>
    <row r="11366" spans="25:26">
      <c r="Y11366" s="1354"/>
      <c r="Z11366" s="1060"/>
    </row>
    <row r="11367" spans="25:26">
      <c r="Y11367" s="1354"/>
      <c r="Z11367" s="1060"/>
    </row>
    <row r="11368" spans="25:26">
      <c r="Y11368" s="1354"/>
      <c r="Z11368" s="1060"/>
    </row>
    <row r="11369" spans="25:26">
      <c r="Y11369" s="1354"/>
      <c r="Z11369" s="1060"/>
    </row>
    <row r="11370" spans="25:26">
      <c r="Y11370" s="1354"/>
      <c r="Z11370" s="1060"/>
    </row>
    <row r="11371" spans="25:26">
      <c r="Y11371" s="1354"/>
      <c r="Z11371" s="1060"/>
    </row>
    <row r="11372" spans="25:26">
      <c r="Y11372" s="1354"/>
      <c r="Z11372" s="1060"/>
    </row>
    <row r="11373" spans="25:26">
      <c r="Y11373" s="1354"/>
      <c r="Z11373" s="1060"/>
    </row>
    <row r="11374" spans="25:26">
      <c r="Y11374" s="1354"/>
      <c r="Z11374" s="1060"/>
    </row>
    <row r="11375" spans="25:26">
      <c r="Y11375" s="1354"/>
      <c r="Z11375" s="1060"/>
    </row>
    <row r="11376" spans="25:26">
      <c r="Y11376" s="1354"/>
      <c r="Z11376" s="1060"/>
    </row>
    <row r="11377" spans="25:26">
      <c r="Y11377" s="1354"/>
      <c r="Z11377" s="1060"/>
    </row>
    <row r="11378" spans="25:26">
      <c r="Y11378" s="1354"/>
      <c r="Z11378" s="1060"/>
    </row>
    <row r="11379" spans="25:26">
      <c r="Y11379" s="1354"/>
      <c r="Z11379" s="1060"/>
    </row>
    <row r="11380" spans="25:26">
      <c r="Y11380" s="1354"/>
      <c r="Z11380" s="1060"/>
    </row>
    <row r="11381" spans="25:26">
      <c r="Y11381" s="1354"/>
      <c r="Z11381" s="1060"/>
    </row>
    <row r="11382" spans="25:26">
      <c r="Y11382" s="1354"/>
      <c r="Z11382" s="1060"/>
    </row>
    <row r="11383" spans="25:26">
      <c r="Y11383" s="1354"/>
      <c r="Z11383" s="1060"/>
    </row>
    <row r="11384" spans="25:26">
      <c r="Y11384" s="1354"/>
      <c r="Z11384" s="1060"/>
    </row>
    <row r="11385" spans="25:26">
      <c r="Y11385" s="1354"/>
      <c r="Z11385" s="1060"/>
    </row>
    <row r="11386" spans="25:26">
      <c r="Y11386" s="1354"/>
      <c r="Z11386" s="1060"/>
    </row>
    <row r="11387" spans="25:26">
      <c r="Y11387" s="1354"/>
      <c r="Z11387" s="1060"/>
    </row>
    <row r="11388" spans="25:26">
      <c r="Y11388" s="1354"/>
      <c r="Z11388" s="1060"/>
    </row>
    <row r="11389" spans="25:26">
      <c r="Y11389" s="1354"/>
      <c r="Z11389" s="1060"/>
    </row>
    <row r="11390" spans="25:26">
      <c r="Y11390" s="1354"/>
      <c r="Z11390" s="1060"/>
    </row>
    <row r="11391" spans="25:26">
      <c r="Y11391" s="1354"/>
      <c r="Z11391" s="1060"/>
    </row>
    <row r="11392" spans="25:26">
      <c r="Y11392" s="1354"/>
      <c r="Z11392" s="1060"/>
    </row>
    <row r="11393" spans="25:26">
      <c r="Y11393" s="1354"/>
      <c r="Z11393" s="1060"/>
    </row>
    <row r="11394" spans="25:26">
      <c r="Y11394" s="1354"/>
      <c r="Z11394" s="1060"/>
    </row>
    <row r="11395" spans="25:26">
      <c r="Y11395" s="1354"/>
      <c r="Z11395" s="1060"/>
    </row>
    <row r="11396" spans="25:26">
      <c r="Y11396" s="1354"/>
      <c r="Z11396" s="1060"/>
    </row>
    <row r="11397" spans="25:26">
      <c r="Y11397" s="1354"/>
      <c r="Z11397" s="1060"/>
    </row>
    <row r="11398" spans="25:26">
      <c r="Y11398" s="1354"/>
      <c r="Z11398" s="1060"/>
    </row>
    <row r="11399" spans="25:26">
      <c r="Y11399" s="1354"/>
      <c r="Z11399" s="1060"/>
    </row>
    <row r="11400" spans="25:26">
      <c r="Y11400" s="1354"/>
      <c r="Z11400" s="1060"/>
    </row>
    <row r="11401" spans="25:26">
      <c r="Y11401" s="1354"/>
      <c r="Z11401" s="1060"/>
    </row>
    <row r="11402" spans="25:26">
      <c r="Y11402" s="1354"/>
      <c r="Z11402" s="1060"/>
    </row>
    <row r="11403" spans="25:26">
      <c r="Y11403" s="1354"/>
      <c r="Z11403" s="1060"/>
    </row>
    <row r="11404" spans="25:26">
      <c r="Y11404" s="1354"/>
      <c r="Z11404" s="1060"/>
    </row>
    <row r="11405" spans="25:26">
      <c r="Y11405" s="1354"/>
      <c r="Z11405" s="1060"/>
    </row>
    <row r="11406" spans="25:26">
      <c r="Y11406" s="1354"/>
      <c r="Z11406" s="1060"/>
    </row>
    <row r="11407" spans="25:26">
      <c r="Y11407" s="1354"/>
      <c r="Z11407" s="1060"/>
    </row>
    <row r="11408" spans="25:26">
      <c r="Y11408" s="1354"/>
      <c r="Z11408" s="1060"/>
    </row>
    <row r="11409" spans="25:26">
      <c r="Y11409" s="1354"/>
      <c r="Z11409" s="1060"/>
    </row>
    <row r="11410" spans="25:26">
      <c r="Y11410" s="1354"/>
      <c r="Z11410" s="1060"/>
    </row>
    <row r="11411" spans="25:26">
      <c r="Y11411" s="1354"/>
      <c r="Z11411" s="1060"/>
    </row>
    <row r="11412" spans="25:26">
      <c r="Y11412" s="1354"/>
      <c r="Z11412" s="1060"/>
    </row>
    <row r="11413" spans="25:26">
      <c r="Y11413" s="1354"/>
      <c r="Z11413" s="1060"/>
    </row>
    <row r="11414" spans="25:26">
      <c r="Y11414" s="1354"/>
      <c r="Z11414" s="1060"/>
    </row>
    <row r="11415" spans="25:26">
      <c r="Y11415" s="1354"/>
      <c r="Z11415" s="1060"/>
    </row>
    <row r="11416" spans="25:26">
      <c r="Y11416" s="1354"/>
      <c r="Z11416" s="1060"/>
    </row>
    <row r="11417" spans="25:26">
      <c r="Y11417" s="1354"/>
      <c r="Z11417" s="1060"/>
    </row>
    <row r="11418" spans="25:26">
      <c r="Y11418" s="1354"/>
      <c r="Z11418" s="1060"/>
    </row>
    <row r="11419" spans="25:26">
      <c r="Y11419" s="1354"/>
      <c r="Z11419" s="1060"/>
    </row>
    <row r="11420" spans="25:26">
      <c r="Y11420" s="1354"/>
      <c r="Z11420" s="1060"/>
    </row>
    <row r="11421" spans="25:26">
      <c r="Y11421" s="1354"/>
      <c r="Z11421" s="1060"/>
    </row>
    <row r="11422" spans="25:26">
      <c r="Y11422" s="1354"/>
      <c r="Z11422" s="1060"/>
    </row>
    <row r="11423" spans="25:26">
      <c r="Y11423" s="1354"/>
      <c r="Z11423" s="1060"/>
    </row>
    <row r="11424" spans="25:26">
      <c r="Y11424" s="1354"/>
      <c r="Z11424" s="1060"/>
    </row>
    <row r="11425" spans="25:26">
      <c r="Y11425" s="1354"/>
      <c r="Z11425" s="1060"/>
    </row>
    <row r="11426" spans="25:26">
      <c r="Y11426" s="1354"/>
      <c r="Z11426" s="1060"/>
    </row>
    <row r="11427" spans="25:26">
      <c r="Y11427" s="1354"/>
      <c r="Z11427" s="1060"/>
    </row>
    <row r="11428" spans="25:26">
      <c r="Y11428" s="1354"/>
      <c r="Z11428" s="1060"/>
    </row>
    <row r="11429" spans="25:26">
      <c r="Y11429" s="1354"/>
      <c r="Z11429" s="1060"/>
    </row>
    <row r="11430" spans="25:26">
      <c r="Y11430" s="1354"/>
      <c r="Z11430" s="1060"/>
    </row>
    <row r="11431" spans="25:26">
      <c r="Y11431" s="1354"/>
      <c r="Z11431" s="1060"/>
    </row>
    <row r="11432" spans="25:26">
      <c r="Y11432" s="1354"/>
      <c r="Z11432" s="1060"/>
    </row>
    <row r="11433" spans="25:26">
      <c r="Y11433" s="1354"/>
      <c r="Z11433" s="1060"/>
    </row>
    <row r="11434" spans="25:26">
      <c r="Y11434" s="1354"/>
      <c r="Z11434" s="1060"/>
    </row>
    <row r="11435" spans="25:26">
      <c r="Y11435" s="1354"/>
      <c r="Z11435" s="1060"/>
    </row>
    <row r="11436" spans="25:26">
      <c r="Y11436" s="1354"/>
      <c r="Z11436" s="1060"/>
    </row>
    <row r="11437" spans="25:26">
      <c r="Y11437" s="1354"/>
      <c r="Z11437" s="1060"/>
    </row>
    <row r="11438" spans="25:26">
      <c r="Y11438" s="1354"/>
      <c r="Z11438" s="1060"/>
    </row>
    <row r="11439" spans="25:26">
      <c r="Y11439" s="1354"/>
      <c r="Z11439" s="1060"/>
    </row>
    <row r="11440" spans="25:26">
      <c r="Y11440" s="1354"/>
      <c r="Z11440" s="1060"/>
    </row>
    <row r="11441" spans="25:26">
      <c r="Y11441" s="1354"/>
      <c r="Z11441" s="1060"/>
    </row>
    <row r="11442" spans="25:26">
      <c r="Y11442" s="1354"/>
      <c r="Z11442" s="1060"/>
    </row>
    <row r="11443" spans="25:26">
      <c r="Y11443" s="1354"/>
      <c r="Z11443" s="1060"/>
    </row>
    <row r="11444" spans="25:26">
      <c r="Y11444" s="1354"/>
      <c r="Z11444" s="1060"/>
    </row>
    <row r="11445" spans="25:26">
      <c r="Y11445" s="1354"/>
      <c r="Z11445" s="1060"/>
    </row>
    <row r="11446" spans="25:26">
      <c r="Y11446" s="1354"/>
      <c r="Z11446" s="1060"/>
    </row>
    <row r="11447" spans="25:26">
      <c r="Y11447" s="1354"/>
      <c r="Z11447" s="1060"/>
    </row>
    <row r="11448" spans="25:26">
      <c r="Y11448" s="1354"/>
      <c r="Z11448" s="1060"/>
    </row>
    <row r="11449" spans="25:26">
      <c r="Y11449" s="1354"/>
      <c r="Z11449" s="1060"/>
    </row>
    <row r="11450" spans="25:26">
      <c r="Y11450" s="1354"/>
      <c r="Z11450" s="1060"/>
    </row>
    <row r="11451" spans="25:26">
      <c r="Y11451" s="1354"/>
      <c r="Z11451" s="1060"/>
    </row>
    <row r="11452" spans="25:26">
      <c r="Y11452" s="1354"/>
      <c r="Z11452" s="1060"/>
    </row>
    <row r="11453" spans="25:26">
      <c r="Y11453" s="1354"/>
      <c r="Z11453" s="1060"/>
    </row>
    <row r="11454" spans="25:26">
      <c r="Y11454" s="1354"/>
      <c r="Z11454" s="1060"/>
    </row>
    <row r="11455" spans="25:26">
      <c r="Y11455" s="1354"/>
      <c r="Z11455" s="1060"/>
    </row>
    <row r="11456" spans="25:26">
      <c r="Y11456" s="1354"/>
      <c r="Z11456" s="1060"/>
    </row>
    <row r="11457" spans="25:26">
      <c r="Y11457" s="1354"/>
      <c r="Z11457" s="1060"/>
    </row>
    <row r="11458" spans="25:26">
      <c r="Y11458" s="1354"/>
      <c r="Z11458" s="1060"/>
    </row>
    <row r="11459" spans="25:26">
      <c r="Y11459" s="1354"/>
      <c r="Z11459" s="1060"/>
    </row>
    <row r="11460" spans="25:26">
      <c r="Y11460" s="1354"/>
      <c r="Z11460" s="1060"/>
    </row>
    <row r="11461" spans="25:26">
      <c r="Y11461" s="1354"/>
      <c r="Z11461" s="1060"/>
    </row>
    <row r="11462" spans="25:26">
      <c r="Y11462" s="1354"/>
      <c r="Z11462" s="1060"/>
    </row>
    <row r="11463" spans="25:26">
      <c r="Y11463" s="1354"/>
      <c r="Z11463" s="1060"/>
    </row>
    <row r="11464" spans="25:26">
      <c r="Y11464" s="1354"/>
      <c r="Z11464" s="1060"/>
    </row>
    <row r="11465" spans="25:26">
      <c r="Y11465" s="1354"/>
      <c r="Z11465" s="1060"/>
    </row>
    <row r="11466" spans="25:26">
      <c r="Y11466" s="1354"/>
      <c r="Z11466" s="1060"/>
    </row>
    <row r="11467" spans="25:26">
      <c r="Y11467" s="1354"/>
      <c r="Z11467" s="1060"/>
    </row>
    <row r="11468" spans="25:26">
      <c r="Y11468" s="1354"/>
      <c r="Z11468" s="1060"/>
    </row>
    <row r="11469" spans="25:26">
      <c r="Y11469" s="1354"/>
      <c r="Z11469" s="1060"/>
    </row>
    <row r="11470" spans="25:26">
      <c r="Y11470" s="1354"/>
      <c r="Z11470" s="1060"/>
    </row>
    <row r="11471" spans="25:26">
      <c r="Y11471" s="1354"/>
      <c r="Z11471" s="1060"/>
    </row>
    <row r="11472" spans="25:26">
      <c r="Y11472" s="1354"/>
      <c r="Z11472" s="1060"/>
    </row>
    <row r="11473" spans="25:26">
      <c r="Y11473" s="1354"/>
      <c r="Z11473" s="1060"/>
    </row>
    <row r="11474" spans="25:26">
      <c r="Y11474" s="1354"/>
      <c r="Z11474" s="1060"/>
    </row>
    <row r="11475" spans="25:26">
      <c r="Y11475" s="1354"/>
      <c r="Z11475" s="1060"/>
    </row>
    <row r="11476" spans="25:26">
      <c r="Y11476" s="1354"/>
      <c r="Z11476" s="1060"/>
    </row>
    <row r="11477" spans="25:26">
      <c r="Y11477" s="1354"/>
      <c r="Z11477" s="1060"/>
    </row>
    <row r="11478" spans="25:26">
      <c r="Y11478" s="1354"/>
      <c r="Z11478" s="1060"/>
    </row>
    <row r="11479" spans="25:26">
      <c r="Y11479" s="1354"/>
      <c r="Z11479" s="1060"/>
    </row>
    <row r="11480" spans="25:26">
      <c r="Y11480" s="1354"/>
      <c r="Z11480" s="1060"/>
    </row>
    <row r="11481" spans="25:26">
      <c r="Y11481" s="1354"/>
      <c r="Z11481" s="1060"/>
    </row>
    <row r="11482" spans="25:26">
      <c r="Y11482" s="1354"/>
      <c r="Z11482" s="1060"/>
    </row>
    <row r="11483" spans="25:26">
      <c r="Y11483" s="1354"/>
      <c r="Z11483" s="1060"/>
    </row>
    <row r="11484" spans="25:26">
      <c r="Y11484" s="1354"/>
      <c r="Z11484" s="1060"/>
    </row>
    <row r="11485" spans="25:26">
      <c r="Y11485" s="1354"/>
      <c r="Z11485" s="1060"/>
    </row>
    <row r="11486" spans="25:26">
      <c r="Y11486" s="1354"/>
      <c r="Z11486" s="1060"/>
    </row>
    <row r="11487" spans="25:26">
      <c r="Y11487" s="1354"/>
      <c r="Z11487" s="1060"/>
    </row>
    <row r="11488" spans="25:26">
      <c r="Y11488" s="1354"/>
      <c r="Z11488" s="1060"/>
    </row>
    <row r="11489" spans="25:26">
      <c r="Y11489" s="1354"/>
      <c r="Z11489" s="1060"/>
    </row>
    <row r="11490" spans="25:26">
      <c r="Y11490" s="1354"/>
      <c r="Z11490" s="1060"/>
    </row>
    <row r="11491" spans="25:26">
      <c r="Y11491" s="1354"/>
      <c r="Z11491" s="1060"/>
    </row>
    <row r="11492" spans="25:26">
      <c r="Y11492" s="1354"/>
      <c r="Z11492" s="1060"/>
    </row>
    <row r="11493" spans="25:26">
      <c r="Y11493" s="1354"/>
      <c r="Z11493" s="1060"/>
    </row>
    <row r="11494" spans="25:26">
      <c r="Y11494" s="1354"/>
      <c r="Z11494" s="1060"/>
    </row>
    <row r="11495" spans="25:26">
      <c r="Y11495" s="1354"/>
      <c r="Z11495" s="1060"/>
    </row>
    <row r="11496" spans="25:26">
      <c r="Y11496" s="1354"/>
      <c r="Z11496" s="1060"/>
    </row>
    <row r="11497" spans="25:26">
      <c r="Y11497" s="1354"/>
      <c r="Z11497" s="1060"/>
    </row>
    <row r="11498" spans="25:26">
      <c r="Y11498" s="1354"/>
      <c r="Z11498" s="1060"/>
    </row>
    <row r="11499" spans="25:26">
      <c r="Y11499" s="1354"/>
      <c r="Z11499" s="1060"/>
    </row>
    <row r="11500" spans="25:26">
      <c r="Y11500" s="1354"/>
      <c r="Z11500" s="1060"/>
    </row>
    <row r="11501" spans="25:26">
      <c r="Y11501" s="1354"/>
      <c r="Z11501" s="1060"/>
    </row>
    <row r="11502" spans="25:26">
      <c r="Y11502" s="1354"/>
      <c r="Z11502" s="1060"/>
    </row>
    <row r="11503" spans="25:26">
      <c r="Y11503" s="1354"/>
      <c r="Z11503" s="1060"/>
    </row>
    <row r="11504" spans="25:26">
      <c r="Y11504" s="1354"/>
      <c r="Z11504" s="1060"/>
    </row>
    <row r="11505" spans="25:26">
      <c r="Y11505" s="1354"/>
      <c r="Z11505" s="1060"/>
    </row>
    <row r="11506" spans="25:26">
      <c r="Y11506" s="1354"/>
      <c r="Z11506" s="1060"/>
    </row>
    <row r="11507" spans="25:26">
      <c r="Y11507" s="1354"/>
      <c r="Z11507" s="1060"/>
    </row>
    <row r="11508" spans="25:26">
      <c r="Y11508" s="1354"/>
      <c r="Z11508" s="1060"/>
    </row>
    <row r="11509" spans="25:26">
      <c r="Y11509" s="1354"/>
      <c r="Z11509" s="1060"/>
    </row>
    <row r="11510" spans="25:26">
      <c r="Y11510" s="1354"/>
      <c r="Z11510" s="1060"/>
    </row>
    <row r="11511" spans="25:26">
      <c r="Y11511" s="1354"/>
      <c r="Z11511" s="1060"/>
    </row>
    <row r="11512" spans="25:26">
      <c r="Y11512" s="1354"/>
      <c r="Z11512" s="1060"/>
    </row>
    <row r="11513" spans="25:26">
      <c r="Y11513" s="1354"/>
      <c r="Z11513" s="1060"/>
    </row>
    <row r="11514" spans="25:26">
      <c r="Y11514" s="1354"/>
      <c r="Z11514" s="1060"/>
    </row>
    <row r="11515" spans="25:26">
      <c r="Y11515" s="1354"/>
      <c r="Z11515" s="1060"/>
    </row>
    <row r="11516" spans="25:26">
      <c r="Y11516" s="1354"/>
      <c r="Z11516" s="1060"/>
    </row>
    <row r="11517" spans="25:26">
      <c r="Y11517" s="1354"/>
      <c r="Z11517" s="1060"/>
    </row>
    <row r="11518" spans="25:26">
      <c r="Y11518" s="1354"/>
      <c r="Z11518" s="1060"/>
    </row>
    <row r="11519" spans="25:26">
      <c r="Y11519" s="1354"/>
      <c r="Z11519" s="1060"/>
    </row>
    <row r="11520" spans="25:26">
      <c r="Y11520" s="1354"/>
      <c r="Z11520" s="1060"/>
    </row>
    <row r="11521" spans="25:26">
      <c r="Y11521" s="1354"/>
      <c r="Z11521" s="1060"/>
    </row>
    <row r="11522" spans="25:26">
      <c r="Y11522" s="1354"/>
      <c r="Z11522" s="1060"/>
    </row>
    <row r="11523" spans="25:26">
      <c r="Y11523" s="1354"/>
      <c r="Z11523" s="1060"/>
    </row>
    <row r="11524" spans="25:26">
      <c r="Y11524" s="1354"/>
      <c r="Z11524" s="1060"/>
    </row>
    <row r="11525" spans="25:26">
      <c r="Y11525" s="1354"/>
      <c r="Z11525" s="1060"/>
    </row>
    <row r="11526" spans="25:26">
      <c r="Y11526" s="1354"/>
      <c r="Z11526" s="1060"/>
    </row>
    <row r="11527" spans="25:26">
      <c r="Y11527" s="1354"/>
      <c r="Z11527" s="1060"/>
    </row>
    <row r="11528" spans="25:26">
      <c r="Y11528" s="1354"/>
      <c r="Z11528" s="1060"/>
    </row>
    <row r="11529" spans="25:26">
      <c r="Y11529" s="1354"/>
      <c r="Z11529" s="1060"/>
    </row>
    <row r="11530" spans="25:26">
      <c r="Y11530" s="1354"/>
      <c r="Z11530" s="1060"/>
    </row>
    <row r="11531" spans="25:26">
      <c r="Y11531" s="1354"/>
      <c r="Z11531" s="1060"/>
    </row>
    <row r="11532" spans="25:26">
      <c r="Y11532" s="1354"/>
      <c r="Z11532" s="1060"/>
    </row>
    <row r="11533" spans="25:26">
      <c r="Y11533" s="1354"/>
      <c r="Z11533" s="1060"/>
    </row>
    <row r="11534" spans="25:26">
      <c r="Y11534" s="1354"/>
      <c r="Z11534" s="1060"/>
    </row>
    <row r="11535" spans="25:26">
      <c r="Y11535" s="1354"/>
      <c r="Z11535" s="1060"/>
    </row>
    <row r="11536" spans="25:26">
      <c r="Y11536" s="1354"/>
      <c r="Z11536" s="1060"/>
    </row>
    <row r="11537" spans="25:26">
      <c r="Y11537" s="1354"/>
      <c r="Z11537" s="1060"/>
    </row>
    <row r="11538" spans="25:26">
      <c r="Y11538" s="1354"/>
      <c r="Z11538" s="1060"/>
    </row>
    <row r="11539" spans="25:26">
      <c r="Y11539" s="1354"/>
      <c r="Z11539" s="1060"/>
    </row>
    <row r="11540" spans="25:26">
      <c r="Y11540" s="1354"/>
      <c r="Z11540" s="1060"/>
    </row>
    <row r="11541" spans="25:26">
      <c r="Y11541" s="1354"/>
      <c r="Z11541" s="1060"/>
    </row>
    <row r="11542" spans="25:26">
      <c r="Y11542" s="1354"/>
      <c r="Z11542" s="1060"/>
    </row>
    <row r="11543" spans="25:26">
      <c r="Y11543" s="1354"/>
      <c r="Z11543" s="1060"/>
    </row>
    <row r="11544" spans="25:26">
      <c r="Y11544" s="1354"/>
      <c r="Z11544" s="1060"/>
    </row>
    <row r="11545" spans="25:26">
      <c r="Y11545" s="1354"/>
      <c r="Z11545" s="1060"/>
    </row>
    <row r="11546" spans="25:26">
      <c r="Y11546" s="1354"/>
      <c r="Z11546" s="1060"/>
    </row>
    <row r="11547" spans="25:26">
      <c r="Y11547" s="1354"/>
      <c r="Z11547" s="1060"/>
    </row>
    <row r="11548" spans="25:26">
      <c r="Y11548" s="1354"/>
      <c r="Z11548" s="1060"/>
    </row>
    <row r="11549" spans="25:26">
      <c r="Y11549" s="1354"/>
      <c r="Z11549" s="1060"/>
    </row>
    <row r="11550" spans="25:26">
      <c r="Y11550" s="1354"/>
      <c r="Z11550" s="1060"/>
    </row>
    <row r="11551" spans="25:26">
      <c r="Y11551" s="1354"/>
      <c r="Z11551" s="1060"/>
    </row>
    <row r="11552" spans="25:26">
      <c r="Y11552" s="1354"/>
      <c r="Z11552" s="1060"/>
    </row>
    <row r="11553" spans="25:26">
      <c r="Y11553" s="1354"/>
      <c r="Z11553" s="1060"/>
    </row>
    <row r="11554" spans="25:26">
      <c r="Y11554" s="1354"/>
      <c r="Z11554" s="1060"/>
    </row>
    <row r="11555" spans="25:26">
      <c r="Y11555" s="1354"/>
      <c r="Z11555" s="1060"/>
    </row>
    <row r="11556" spans="25:26">
      <c r="Y11556" s="1354"/>
      <c r="Z11556" s="1060"/>
    </row>
    <row r="11557" spans="25:26">
      <c r="Y11557" s="1354"/>
      <c r="Z11557" s="1060"/>
    </row>
    <row r="11558" spans="25:26">
      <c r="Y11558" s="1354"/>
      <c r="Z11558" s="1060"/>
    </row>
    <row r="11559" spans="25:26">
      <c r="Y11559" s="1354"/>
      <c r="Z11559" s="1060"/>
    </row>
    <row r="11560" spans="25:26">
      <c r="Y11560" s="1354"/>
      <c r="Z11560" s="1060"/>
    </row>
    <row r="11561" spans="25:26">
      <c r="Y11561" s="1354"/>
      <c r="Z11561" s="1060"/>
    </row>
    <row r="11562" spans="25:26">
      <c r="Y11562" s="1354"/>
      <c r="Z11562" s="1060"/>
    </row>
    <row r="11563" spans="25:26">
      <c r="Y11563" s="1354"/>
      <c r="Z11563" s="1060"/>
    </row>
    <row r="11564" spans="25:26">
      <c r="Y11564" s="1354"/>
      <c r="Z11564" s="1060"/>
    </row>
    <row r="11565" spans="25:26">
      <c r="Y11565" s="1354"/>
      <c r="Z11565" s="1060"/>
    </row>
    <row r="11566" spans="25:26">
      <c r="Y11566" s="1354"/>
      <c r="Z11566" s="1060"/>
    </row>
    <row r="11567" spans="25:26">
      <c r="Y11567" s="1354"/>
      <c r="Z11567" s="1060"/>
    </row>
    <row r="11568" spans="25:26">
      <c r="Y11568" s="1354"/>
      <c r="Z11568" s="1060"/>
    </row>
    <row r="11569" spans="25:26">
      <c r="Y11569" s="1354"/>
      <c r="Z11569" s="1060"/>
    </row>
    <row r="11570" spans="25:26">
      <c r="Y11570" s="1354"/>
      <c r="Z11570" s="1060"/>
    </row>
    <row r="11571" spans="25:26">
      <c r="Y11571" s="1354"/>
      <c r="Z11571" s="1060"/>
    </row>
    <row r="11572" spans="25:26">
      <c r="Y11572" s="1354"/>
      <c r="Z11572" s="1060"/>
    </row>
    <row r="11573" spans="25:26">
      <c r="Y11573" s="1354"/>
      <c r="Z11573" s="1060"/>
    </row>
    <row r="11574" spans="25:26">
      <c r="Y11574" s="1354"/>
      <c r="Z11574" s="1060"/>
    </row>
    <row r="11575" spans="25:26">
      <c r="Y11575" s="1354"/>
      <c r="Z11575" s="1060"/>
    </row>
    <row r="11576" spans="25:26">
      <c r="Y11576" s="1354"/>
      <c r="Z11576" s="1060"/>
    </row>
    <row r="11577" spans="25:26">
      <c r="Y11577" s="1354"/>
      <c r="Z11577" s="1060"/>
    </row>
    <row r="11578" spans="25:26">
      <c r="Y11578" s="1354"/>
      <c r="Z11578" s="1060"/>
    </row>
    <row r="11579" spans="25:26">
      <c r="Y11579" s="1354"/>
      <c r="Z11579" s="1060"/>
    </row>
    <row r="11580" spans="25:26">
      <c r="Y11580" s="1354"/>
      <c r="Z11580" s="1060"/>
    </row>
    <row r="11581" spans="25:26">
      <c r="Y11581" s="1354"/>
      <c r="Z11581" s="1060"/>
    </row>
    <row r="11582" spans="25:26">
      <c r="Y11582" s="1354"/>
      <c r="Z11582" s="1060"/>
    </row>
    <row r="11583" spans="25:26">
      <c r="Y11583" s="1354"/>
      <c r="Z11583" s="1060"/>
    </row>
    <row r="11584" spans="25:26">
      <c r="Y11584" s="1354"/>
      <c r="Z11584" s="1060"/>
    </row>
    <row r="11585" spans="25:26">
      <c r="Y11585" s="1354"/>
      <c r="Z11585" s="1060"/>
    </row>
    <row r="11586" spans="25:26">
      <c r="Y11586" s="1354"/>
      <c r="Z11586" s="1060"/>
    </row>
    <row r="11587" spans="25:26">
      <c r="Y11587" s="1354"/>
      <c r="Z11587" s="1060"/>
    </row>
    <row r="11588" spans="25:26">
      <c r="Y11588" s="1354"/>
      <c r="Z11588" s="1060"/>
    </row>
    <row r="11589" spans="25:26">
      <c r="Y11589" s="1354"/>
      <c r="Z11589" s="1060"/>
    </row>
    <row r="11590" spans="25:26">
      <c r="Y11590" s="1354"/>
      <c r="Z11590" s="1060"/>
    </row>
    <row r="11591" spans="25:26">
      <c r="Y11591" s="1354"/>
      <c r="Z11591" s="1060"/>
    </row>
    <row r="11592" spans="25:26">
      <c r="Y11592" s="1354"/>
      <c r="Z11592" s="1060"/>
    </row>
    <row r="11593" spans="25:26">
      <c r="Y11593" s="1354"/>
      <c r="Z11593" s="1060"/>
    </row>
    <row r="11594" spans="25:26">
      <c r="Y11594" s="1354"/>
      <c r="Z11594" s="1060"/>
    </row>
    <row r="11595" spans="25:26">
      <c r="Y11595" s="1354"/>
      <c r="Z11595" s="1060"/>
    </row>
    <row r="11596" spans="25:26">
      <c r="Y11596" s="1354"/>
      <c r="Z11596" s="1060"/>
    </row>
    <row r="11597" spans="25:26">
      <c r="Y11597" s="1354"/>
      <c r="Z11597" s="1060"/>
    </row>
    <row r="11598" spans="25:26">
      <c r="Y11598" s="1354"/>
      <c r="Z11598" s="1060"/>
    </row>
    <row r="11599" spans="25:26">
      <c r="Y11599" s="1354"/>
      <c r="Z11599" s="1060"/>
    </row>
    <row r="11600" spans="25:26">
      <c r="Y11600" s="1354"/>
      <c r="Z11600" s="1060"/>
    </row>
    <row r="11601" spans="25:26">
      <c r="Y11601" s="1354"/>
      <c r="Z11601" s="1060"/>
    </row>
    <row r="11602" spans="25:26">
      <c r="Y11602" s="1354"/>
      <c r="Z11602" s="1060"/>
    </row>
    <row r="11603" spans="25:26">
      <c r="Y11603" s="1354"/>
      <c r="Z11603" s="1060"/>
    </row>
    <row r="11604" spans="25:26">
      <c r="Y11604" s="1354"/>
      <c r="Z11604" s="1060"/>
    </row>
    <row r="11605" spans="25:26">
      <c r="Y11605" s="1354"/>
      <c r="Z11605" s="1060"/>
    </row>
    <row r="11606" spans="25:26">
      <c r="Y11606" s="1354"/>
      <c r="Z11606" s="1060"/>
    </row>
    <row r="11607" spans="25:26">
      <c r="Y11607" s="1354"/>
      <c r="Z11607" s="1060"/>
    </row>
    <row r="11608" spans="25:26">
      <c r="Y11608" s="1354"/>
      <c r="Z11608" s="1060"/>
    </row>
    <row r="11609" spans="25:26">
      <c r="Y11609" s="1354"/>
      <c r="Z11609" s="1060"/>
    </row>
    <row r="11610" spans="25:26">
      <c r="Y11610" s="1354"/>
      <c r="Z11610" s="1060"/>
    </row>
    <row r="11611" spans="25:26">
      <c r="Y11611" s="1354"/>
      <c r="Z11611" s="1060"/>
    </row>
    <row r="11612" spans="25:26">
      <c r="Y11612" s="1354"/>
      <c r="Z11612" s="1060"/>
    </row>
    <row r="11613" spans="25:26">
      <c r="Y11613" s="1354"/>
      <c r="Z11613" s="1060"/>
    </row>
    <row r="11614" spans="25:26">
      <c r="Y11614" s="1354"/>
      <c r="Z11614" s="1060"/>
    </row>
    <row r="11615" spans="25:26">
      <c r="Y11615" s="1354"/>
      <c r="Z11615" s="1060"/>
    </row>
    <row r="11616" spans="25:26">
      <c r="Y11616" s="1354"/>
      <c r="Z11616" s="1060"/>
    </row>
    <row r="11617" spans="25:26">
      <c r="Y11617" s="1354"/>
      <c r="Z11617" s="1060"/>
    </row>
    <row r="11618" spans="25:26">
      <c r="Y11618" s="1354"/>
      <c r="Z11618" s="1060"/>
    </row>
    <row r="11619" spans="25:26">
      <c r="Y11619" s="1354"/>
      <c r="Z11619" s="1060"/>
    </row>
    <row r="11620" spans="25:26">
      <c r="Y11620" s="1354"/>
      <c r="Z11620" s="1060"/>
    </row>
    <row r="11621" spans="25:26">
      <c r="Y11621" s="1354"/>
      <c r="Z11621" s="1060"/>
    </row>
    <row r="11622" spans="25:26">
      <c r="Y11622" s="1354"/>
      <c r="Z11622" s="1060"/>
    </row>
    <row r="11623" spans="25:26">
      <c r="Y11623" s="1354"/>
      <c r="Z11623" s="1060"/>
    </row>
    <row r="11624" spans="25:26">
      <c r="Y11624" s="1354"/>
      <c r="Z11624" s="1060"/>
    </row>
    <row r="11625" spans="25:26">
      <c r="Y11625" s="1354"/>
      <c r="Z11625" s="1060"/>
    </row>
    <row r="11626" spans="25:26">
      <c r="Y11626" s="1354"/>
      <c r="Z11626" s="1060"/>
    </row>
    <row r="11627" spans="25:26">
      <c r="Y11627" s="1354"/>
      <c r="Z11627" s="1060"/>
    </row>
    <row r="11628" spans="25:26">
      <c r="Y11628" s="1354"/>
      <c r="Z11628" s="1060"/>
    </row>
    <row r="11629" spans="25:26">
      <c r="Y11629" s="1354"/>
      <c r="Z11629" s="1060"/>
    </row>
    <row r="11630" spans="25:26">
      <c r="Y11630" s="1354"/>
      <c r="Z11630" s="1060"/>
    </row>
    <row r="11631" spans="25:26">
      <c r="Y11631" s="1354"/>
      <c r="Z11631" s="1060"/>
    </row>
    <row r="11632" spans="25:26">
      <c r="Y11632" s="1354"/>
      <c r="Z11632" s="1060"/>
    </row>
    <row r="11633" spans="25:26">
      <c r="Y11633" s="1354"/>
      <c r="Z11633" s="1060"/>
    </row>
    <row r="11634" spans="25:26">
      <c r="Y11634" s="1354"/>
      <c r="Z11634" s="1060"/>
    </row>
    <row r="11635" spans="25:26">
      <c r="Y11635" s="1354"/>
      <c r="Z11635" s="1060"/>
    </row>
    <row r="11636" spans="25:26">
      <c r="Y11636" s="1354"/>
      <c r="Z11636" s="1060"/>
    </row>
    <row r="11637" spans="25:26">
      <c r="Y11637" s="1354"/>
      <c r="Z11637" s="1060"/>
    </row>
    <row r="11638" spans="25:26">
      <c r="Y11638" s="1354"/>
      <c r="Z11638" s="1060"/>
    </row>
    <row r="11639" spans="25:26">
      <c r="Y11639" s="1354"/>
      <c r="Z11639" s="1060"/>
    </row>
    <row r="11640" spans="25:26">
      <c r="Y11640" s="1354"/>
      <c r="Z11640" s="1060"/>
    </row>
    <row r="11641" spans="25:26">
      <c r="Y11641" s="1354"/>
      <c r="Z11641" s="1060"/>
    </row>
    <row r="11642" spans="25:26">
      <c r="Y11642" s="1354"/>
      <c r="Z11642" s="1060"/>
    </row>
    <row r="11643" spans="25:26">
      <c r="Y11643" s="1354"/>
      <c r="Z11643" s="1060"/>
    </row>
    <row r="11644" spans="25:26">
      <c r="Y11644" s="1354"/>
      <c r="Z11644" s="1060"/>
    </row>
    <row r="11645" spans="25:26">
      <c r="Y11645" s="1354"/>
      <c r="Z11645" s="1060"/>
    </row>
    <row r="11646" spans="25:26">
      <c r="Y11646" s="1354"/>
      <c r="Z11646" s="1060"/>
    </row>
    <row r="11647" spans="25:26">
      <c r="Y11647" s="1354"/>
      <c r="Z11647" s="1060"/>
    </row>
    <row r="11648" spans="25:26">
      <c r="Y11648" s="1354"/>
      <c r="Z11648" s="1060"/>
    </row>
    <row r="11649" spans="25:26">
      <c r="Y11649" s="1354"/>
      <c r="Z11649" s="1060"/>
    </row>
    <row r="11650" spans="25:26">
      <c r="Y11650" s="1354"/>
      <c r="Z11650" s="1060"/>
    </row>
    <row r="11651" spans="25:26">
      <c r="Y11651" s="1354"/>
      <c r="Z11651" s="1060"/>
    </row>
    <row r="11652" spans="25:26">
      <c r="Y11652" s="1354"/>
      <c r="Z11652" s="1060"/>
    </row>
    <row r="11653" spans="25:26">
      <c r="Y11653" s="1354"/>
      <c r="Z11653" s="1060"/>
    </row>
    <row r="11654" spans="25:26">
      <c r="Y11654" s="1354"/>
      <c r="Z11654" s="1060"/>
    </row>
    <row r="11655" spans="25:26">
      <c r="Y11655" s="1354"/>
      <c r="Z11655" s="1060"/>
    </row>
    <row r="11656" spans="25:26">
      <c r="Y11656" s="1354"/>
      <c r="Z11656" s="1060"/>
    </row>
    <row r="11657" spans="25:26">
      <c r="Y11657" s="1354"/>
      <c r="Z11657" s="1060"/>
    </row>
    <row r="11658" spans="25:26">
      <c r="Y11658" s="1354"/>
      <c r="Z11658" s="1060"/>
    </row>
    <row r="11659" spans="25:26">
      <c r="Y11659" s="1354"/>
      <c r="Z11659" s="1060"/>
    </row>
    <row r="11660" spans="25:26">
      <c r="Y11660" s="1354"/>
      <c r="Z11660" s="1060"/>
    </row>
    <row r="11661" spans="25:26">
      <c r="Y11661" s="1354"/>
      <c r="Z11661" s="1060"/>
    </row>
    <row r="11662" spans="25:26">
      <c r="Y11662" s="1354"/>
      <c r="Z11662" s="1060"/>
    </row>
    <row r="11663" spans="25:26">
      <c r="Y11663" s="1354"/>
      <c r="Z11663" s="1060"/>
    </row>
    <row r="11664" spans="25:26">
      <c r="Y11664" s="1354"/>
      <c r="Z11664" s="1060"/>
    </row>
    <row r="11665" spans="25:26">
      <c r="Y11665" s="1354"/>
      <c r="Z11665" s="1060"/>
    </row>
    <row r="11666" spans="25:26">
      <c r="Y11666" s="1354"/>
      <c r="Z11666" s="1060"/>
    </row>
    <row r="11667" spans="25:26">
      <c r="Y11667" s="1354"/>
      <c r="Z11667" s="1060"/>
    </row>
    <row r="11668" spans="25:26">
      <c r="Y11668" s="1354"/>
      <c r="Z11668" s="1060"/>
    </row>
    <row r="11669" spans="25:26">
      <c r="Y11669" s="1354"/>
      <c r="Z11669" s="1060"/>
    </row>
    <row r="11670" spans="25:26">
      <c r="Y11670" s="1354"/>
      <c r="Z11670" s="1060"/>
    </row>
    <row r="11671" spans="25:26">
      <c r="Y11671" s="1354"/>
      <c r="Z11671" s="1060"/>
    </row>
    <row r="11672" spans="25:26">
      <c r="Y11672" s="1354"/>
      <c r="Z11672" s="1060"/>
    </row>
    <row r="11673" spans="25:26">
      <c r="Y11673" s="1354"/>
      <c r="Z11673" s="1060"/>
    </row>
    <row r="11674" spans="25:26">
      <c r="Y11674" s="1354"/>
      <c r="Z11674" s="1060"/>
    </row>
    <row r="11675" spans="25:26">
      <c r="Y11675" s="1354"/>
      <c r="Z11675" s="1060"/>
    </row>
    <row r="11676" spans="25:26">
      <c r="Y11676" s="1354"/>
      <c r="Z11676" s="1060"/>
    </row>
    <row r="11677" spans="25:26">
      <c r="Y11677" s="1354"/>
      <c r="Z11677" s="1060"/>
    </row>
    <row r="11678" spans="25:26">
      <c r="Y11678" s="1354"/>
      <c r="Z11678" s="1060"/>
    </row>
    <row r="11679" spans="25:26">
      <c r="Y11679" s="1354"/>
      <c r="Z11679" s="1060"/>
    </row>
    <row r="11680" spans="25:26">
      <c r="Y11680" s="1354"/>
      <c r="Z11680" s="1060"/>
    </row>
    <row r="11681" spans="25:26">
      <c r="Y11681" s="1354"/>
      <c r="Z11681" s="1060"/>
    </row>
    <row r="11682" spans="25:26">
      <c r="Y11682" s="1354"/>
      <c r="Z11682" s="1060"/>
    </row>
    <row r="11683" spans="25:26">
      <c r="Y11683" s="1354"/>
      <c r="Z11683" s="1060"/>
    </row>
    <row r="11684" spans="25:26">
      <c r="Y11684" s="1354"/>
      <c r="Z11684" s="1060"/>
    </row>
    <row r="11685" spans="25:26">
      <c r="Y11685" s="1354"/>
      <c r="Z11685" s="1060"/>
    </row>
    <row r="11686" spans="25:26">
      <c r="Y11686" s="1354"/>
      <c r="Z11686" s="1060"/>
    </row>
    <row r="11687" spans="25:26">
      <c r="Y11687" s="1354"/>
      <c r="Z11687" s="1060"/>
    </row>
    <row r="11688" spans="25:26">
      <c r="Y11688" s="1354"/>
      <c r="Z11688" s="1060"/>
    </row>
    <row r="11689" spans="25:26">
      <c r="Y11689" s="1354"/>
      <c r="Z11689" s="1060"/>
    </row>
    <row r="11690" spans="25:26">
      <c r="Y11690" s="1354"/>
      <c r="Z11690" s="1060"/>
    </row>
    <row r="11691" spans="25:26">
      <c r="Y11691" s="1354"/>
      <c r="Z11691" s="1060"/>
    </row>
    <row r="11692" spans="25:26">
      <c r="Y11692" s="1354"/>
      <c r="Z11692" s="1060"/>
    </row>
    <row r="11693" spans="25:26">
      <c r="Y11693" s="1354"/>
      <c r="Z11693" s="1060"/>
    </row>
    <row r="11694" spans="25:26">
      <c r="Y11694" s="1354"/>
      <c r="Z11694" s="1060"/>
    </row>
    <row r="11695" spans="25:26">
      <c r="Y11695" s="1354"/>
      <c r="Z11695" s="1060"/>
    </row>
    <row r="11696" spans="25:26">
      <c r="Y11696" s="1354"/>
      <c r="Z11696" s="1060"/>
    </row>
    <row r="11697" spans="25:26">
      <c r="Y11697" s="1354"/>
      <c r="Z11697" s="1060"/>
    </row>
    <row r="11698" spans="25:26">
      <c r="Y11698" s="1354"/>
      <c r="Z11698" s="1060"/>
    </row>
    <row r="11699" spans="25:26">
      <c r="Y11699" s="1354"/>
      <c r="Z11699" s="1060"/>
    </row>
    <row r="11700" spans="25:26">
      <c r="Y11700" s="1354"/>
      <c r="Z11700" s="1060"/>
    </row>
    <row r="11701" spans="25:26">
      <c r="Y11701" s="1354"/>
      <c r="Z11701" s="1060"/>
    </row>
    <row r="11702" spans="25:26">
      <c r="Y11702" s="1354"/>
      <c r="Z11702" s="1060"/>
    </row>
    <row r="11703" spans="25:26">
      <c r="Y11703" s="1354"/>
      <c r="Z11703" s="1060"/>
    </row>
    <row r="11704" spans="25:26">
      <c r="Y11704" s="1354"/>
      <c r="Z11704" s="1060"/>
    </row>
    <row r="11705" spans="25:26">
      <c r="Y11705" s="1354"/>
      <c r="Z11705" s="1060"/>
    </row>
    <row r="11706" spans="25:26">
      <c r="Y11706" s="1354"/>
      <c r="Z11706" s="1060"/>
    </row>
    <row r="11707" spans="25:26">
      <c r="Y11707" s="1354"/>
      <c r="Z11707" s="1060"/>
    </row>
    <row r="11708" spans="25:26">
      <c r="Y11708" s="1354"/>
      <c r="Z11708" s="1060"/>
    </row>
    <row r="11709" spans="25:26">
      <c r="Y11709" s="1354"/>
      <c r="Z11709" s="1060"/>
    </row>
    <row r="11710" spans="25:26">
      <c r="Y11710" s="1354"/>
      <c r="Z11710" s="1060"/>
    </row>
    <row r="11711" spans="25:26">
      <c r="Y11711" s="1354"/>
      <c r="Z11711" s="1060"/>
    </row>
    <row r="11712" spans="25:26">
      <c r="Y11712" s="1354"/>
      <c r="Z11712" s="1060"/>
    </row>
    <row r="11713" spans="25:26">
      <c r="Y11713" s="1354"/>
      <c r="Z11713" s="1060"/>
    </row>
    <row r="11714" spans="25:26">
      <c r="Y11714" s="1354"/>
      <c r="Z11714" s="1060"/>
    </row>
    <row r="11715" spans="25:26">
      <c r="Y11715" s="1354"/>
      <c r="Z11715" s="1060"/>
    </row>
    <row r="11716" spans="25:26">
      <c r="Y11716" s="1354"/>
      <c r="Z11716" s="1060"/>
    </row>
    <row r="11717" spans="25:26">
      <c r="Y11717" s="1354"/>
      <c r="Z11717" s="1060"/>
    </row>
    <row r="11718" spans="25:26">
      <c r="Y11718" s="1354"/>
      <c r="Z11718" s="1060"/>
    </row>
    <row r="11719" spans="25:26">
      <c r="Y11719" s="1354"/>
      <c r="Z11719" s="1060"/>
    </row>
    <row r="11720" spans="25:26">
      <c r="Y11720" s="1354"/>
      <c r="Z11720" s="1060"/>
    </row>
    <row r="11721" spans="25:26">
      <c r="Y11721" s="1354"/>
      <c r="Z11721" s="1060"/>
    </row>
    <row r="11722" spans="25:26">
      <c r="Y11722" s="1354"/>
      <c r="Z11722" s="1060"/>
    </row>
    <row r="11723" spans="25:26">
      <c r="Y11723" s="1354"/>
      <c r="Z11723" s="1060"/>
    </row>
    <row r="11724" spans="25:26">
      <c r="Y11724" s="1354"/>
      <c r="Z11724" s="1060"/>
    </row>
    <row r="11725" spans="25:26">
      <c r="Y11725" s="1354"/>
      <c r="Z11725" s="1060"/>
    </row>
    <row r="11726" spans="25:26">
      <c r="Y11726" s="1354"/>
      <c r="Z11726" s="1060"/>
    </row>
    <row r="11727" spans="25:26">
      <c r="Y11727" s="1354"/>
      <c r="Z11727" s="1060"/>
    </row>
    <row r="11728" spans="25:26">
      <c r="Y11728" s="1354"/>
      <c r="Z11728" s="1060"/>
    </row>
    <row r="11729" spans="25:26">
      <c r="Y11729" s="1354"/>
      <c r="Z11729" s="1060"/>
    </row>
    <row r="11730" spans="25:26">
      <c r="Y11730" s="1354"/>
      <c r="Z11730" s="1060"/>
    </row>
    <row r="11731" spans="25:26">
      <c r="Y11731" s="1354"/>
      <c r="Z11731" s="1060"/>
    </row>
    <row r="11732" spans="25:26">
      <c r="Y11732" s="1354"/>
      <c r="Z11732" s="1060"/>
    </row>
    <row r="11733" spans="25:26">
      <c r="Y11733" s="1354"/>
      <c r="Z11733" s="1060"/>
    </row>
    <row r="11734" spans="25:26">
      <c r="Y11734" s="1354"/>
      <c r="Z11734" s="1060"/>
    </row>
    <row r="11735" spans="25:26">
      <c r="Y11735" s="1354"/>
      <c r="Z11735" s="1060"/>
    </row>
    <row r="11736" spans="25:26">
      <c r="Y11736" s="1354"/>
      <c r="Z11736" s="1060"/>
    </row>
    <row r="11737" spans="25:26">
      <c r="Y11737" s="1354"/>
      <c r="Z11737" s="1060"/>
    </row>
    <row r="11738" spans="25:26">
      <c r="Y11738" s="1354"/>
      <c r="Z11738" s="1060"/>
    </row>
    <row r="11739" spans="25:26">
      <c r="Y11739" s="1354"/>
      <c r="Z11739" s="1060"/>
    </row>
    <row r="11740" spans="25:26">
      <c r="Y11740" s="1354"/>
      <c r="Z11740" s="1060"/>
    </row>
    <row r="11741" spans="25:26">
      <c r="Y11741" s="1354"/>
      <c r="Z11741" s="1060"/>
    </row>
    <row r="11742" spans="25:26">
      <c r="Y11742" s="1354"/>
      <c r="Z11742" s="1060"/>
    </row>
    <row r="11743" spans="25:26">
      <c r="Y11743" s="1354"/>
      <c r="Z11743" s="1060"/>
    </row>
    <row r="11744" spans="25:26">
      <c r="Y11744" s="1354"/>
      <c r="Z11744" s="1060"/>
    </row>
    <row r="11745" spans="25:26">
      <c r="Y11745" s="1354"/>
      <c r="Z11745" s="1060"/>
    </row>
    <row r="11746" spans="25:26">
      <c r="Y11746" s="1354"/>
      <c r="Z11746" s="1060"/>
    </row>
    <row r="11747" spans="25:26">
      <c r="Y11747" s="1354"/>
      <c r="Z11747" s="1060"/>
    </row>
    <row r="11748" spans="25:26">
      <c r="Y11748" s="1354"/>
      <c r="Z11748" s="1060"/>
    </row>
    <row r="11749" spans="25:26">
      <c r="Y11749" s="1354"/>
      <c r="Z11749" s="1060"/>
    </row>
    <row r="11750" spans="25:26">
      <c r="Y11750" s="1354"/>
      <c r="Z11750" s="1060"/>
    </row>
    <row r="11751" spans="25:26">
      <c r="Y11751" s="1354"/>
      <c r="Z11751" s="1060"/>
    </row>
    <row r="11752" spans="25:26">
      <c r="Y11752" s="1354"/>
      <c r="Z11752" s="1060"/>
    </row>
    <row r="11753" spans="25:26">
      <c r="Y11753" s="1354"/>
      <c r="Z11753" s="1060"/>
    </row>
    <row r="11754" spans="25:26">
      <c r="Y11754" s="1354"/>
      <c r="Z11754" s="1060"/>
    </row>
    <row r="11755" spans="25:26">
      <c r="Y11755" s="1354"/>
      <c r="Z11755" s="1060"/>
    </row>
    <row r="11756" spans="25:26">
      <c r="Y11756" s="1354"/>
      <c r="Z11756" s="1060"/>
    </row>
    <row r="11757" spans="25:26">
      <c r="Y11757" s="1354"/>
      <c r="Z11757" s="1060"/>
    </row>
    <row r="11758" spans="25:26">
      <c r="Y11758" s="1354"/>
      <c r="Z11758" s="1060"/>
    </row>
    <row r="11759" spans="25:26">
      <c r="Y11759" s="1354"/>
      <c r="Z11759" s="1060"/>
    </row>
    <row r="11760" spans="25:26">
      <c r="Y11760" s="1354"/>
      <c r="Z11760" s="1060"/>
    </row>
    <row r="11761" spans="25:26">
      <c r="Y11761" s="1354"/>
      <c r="Z11761" s="1060"/>
    </row>
    <row r="11762" spans="25:26">
      <c r="Y11762" s="1354"/>
      <c r="Z11762" s="1060"/>
    </row>
    <row r="11763" spans="25:26">
      <c r="Y11763" s="1354"/>
      <c r="Z11763" s="1060"/>
    </row>
    <row r="11764" spans="25:26">
      <c r="Y11764" s="1354"/>
      <c r="Z11764" s="1060"/>
    </row>
    <row r="11765" spans="25:26">
      <c r="Y11765" s="1354"/>
      <c r="Z11765" s="1060"/>
    </row>
    <row r="11766" spans="25:26">
      <c r="Y11766" s="1354"/>
      <c r="Z11766" s="1060"/>
    </row>
    <row r="11767" spans="25:26">
      <c r="Y11767" s="1354"/>
      <c r="Z11767" s="1060"/>
    </row>
    <row r="11768" spans="25:26">
      <c r="Y11768" s="1354"/>
      <c r="Z11768" s="1060"/>
    </row>
    <row r="11769" spans="25:26">
      <c r="Y11769" s="1354"/>
      <c r="Z11769" s="1060"/>
    </row>
    <row r="11770" spans="25:26">
      <c r="Y11770" s="1354"/>
      <c r="Z11770" s="1060"/>
    </row>
    <row r="11771" spans="25:26">
      <c r="Y11771" s="1354"/>
      <c r="Z11771" s="1060"/>
    </row>
    <row r="11772" spans="25:26">
      <c r="Y11772" s="1354"/>
      <c r="Z11772" s="1060"/>
    </row>
    <row r="11773" spans="25:26">
      <c r="Y11773" s="1354"/>
      <c r="Z11773" s="1060"/>
    </row>
    <row r="11774" spans="25:26">
      <c r="Y11774" s="1354"/>
      <c r="Z11774" s="1060"/>
    </row>
    <row r="11775" spans="25:26">
      <c r="Y11775" s="1354"/>
      <c r="Z11775" s="1060"/>
    </row>
    <row r="11776" spans="25:26">
      <c r="Y11776" s="1354"/>
      <c r="Z11776" s="1060"/>
    </row>
    <row r="11777" spans="25:26">
      <c r="Y11777" s="1354"/>
      <c r="Z11777" s="1060"/>
    </row>
    <row r="11778" spans="25:26">
      <c r="Y11778" s="1354"/>
      <c r="Z11778" s="1060"/>
    </row>
    <row r="11779" spans="25:26">
      <c r="Y11779" s="1354"/>
      <c r="Z11779" s="1060"/>
    </row>
    <row r="11780" spans="25:26">
      <c r="Y11780" s="1354"/>
      <c r="Z11780" s="1060"/>
    </row>
    <row r="11781" spans="25:26">
      <c r="Y11781" s="1354"/>
      <c r="Z11781" s="1060"/>
    </row>
    <row r="11782" spans="25:26">
      <c r="Y11782" s="1354"/>
      <c r="Z11782" s="1060"/>
    </row>
    <row r="11783" spans="25:26">
      <c r="Y11783" s="1354"/>
      <c r="Z11783" s="1060"/>
    </row>
    <row r="11784" spans="25:26">
      <c r="Y11784" s="1354"/>
      <c r="Z11784" s="1060"/>
    </row>
    <row r="11785" spans="25:26">
      <c r="Y11785" s="1354"/>
      <c r="Z11785" s="1060"/>
    </row>
    <row r="11786" spans="25:26">
      <c r="Y11786" s="1354"/>
      <c r="Z11786" s="1060"/>
    </row>
    <row r="11787" spans="25:26">
      <c r="Y11787" s="1354"/>
      <c r="Z11787" s="1060"/>
    </row>
    <row r="11788" spans="25:26">
      <c r="Y11788" s="1354"/>
      <c r="Z11788" s="1060"/>
    </row>
    <row r="11789" spans="25:26">
      <c r="Y11789" s="1354"/>
      <c r="Z11789" s="1060"/>
    </row>
    <row r="11790" spans="25:26">
      <c r="Y11790" s="1354"/>
      <c r="Z11790" s="1060"/>
    </row>
    <row r="11791" spans="25:26">
      <c r="Y11791" s="1354"/>
      <c r="Z11791" s="1060"/>
    </row>
    <row r="11792" spans="25:26">
      <c r="Y11792" s="1354"/>
      <c r="Z11792" s="1060"/>
    </row>
    <row r="11793" spans="25:26">
      <c r="Y11793" s="1354"/>
      <c r="Z11793" s="1060"/>
    </row>
    <row r="11794" spans="25:26">
      <c r="Y11794" s="1354"/>
      <c r="Z11794" s="1060"/>
    </row>
    <row r="11795" spans="25:26">
      <c r="Y11795" s="1354"/>
      <c r="Z11795" s="1060"/>
    </row>
    <row r="11796" spans="25:26">
      <c r="Y11796" s="1354"/>
      <c r="Z11796" s="1060"/>
    </row>
    <row r="11797" spans="25:26">
      <c r="Y11797" s="1354"/>
      <c r="Z11797" s="1060"/>
    </row>
    <row r="11798" spans="25:26">
      <c r="Y11798" s="1354"/>
      <c r="Z11798" s="1060"/>
    </row>
    <row r="11799" spans="25:26">
      <c r="Y11799" s="1354"/>
      <c r="Z11799" s="1060"/>
    </row>
    <row r="11800" spans="25:26">
      <c r="Y11800" s="1354"/>
      <c r="Z11800" s="1060"/>
    </row>
    <row r="11801" spans="25:26">
      <c r="Y11801" s="1354"/>
      <c r="Z11801" s="1060"/>
    </row>
    <row r="11802" spans="25:26">
      <c r="Y11802" s="1354"/>
      <c r="Z11802" s="1060"/>
    </row>
    <row r="11803" spans="25:26">
      <c r="Y11803" s="1354"/>
      <c r="Z11803" s="1060"/>
    </row>
    <row r="11804" spans="25:26">
      <c r="Y11804" s="1354"/>
      <c r="Z11804" s="1060"/>
    </row>
    <row r="11805" spans="25:26">
      <c r="Y11805" s="1354"/>
      <c r="Z11805" s="1060"/>
    </row>
    <row r="11806" spans="25:26">
      <c r="Y11806" s="1354"/>
      <c r="Z11806" s="1060"/>
    </row>
    <row r="11807" spans="25:26">
      <c r="Y11807" s="1354"/>
      <c r="Z11807" s="1060"/>
    </row>
    <row r="11808" spans="25:26">
      <c r="Y11808" s="1354"/>
      <c r="Z11808" s="1060"/>
    </row>
    <row r="11809" spans="25:26">
      <c r="Y11809" s="1354"/>
      <c r="Z11809" s="1060"/>
    </row>
    <row r="11810" spans="25:26">
      <c r="Y11810" s="1354"/>
      <c r="Z11810" s="1060"/>
    </row>
    <row r="11811" spans="25:26">
      <c r="Y11811" s="1354"/>
      <c r="Z11811" s="1060"/>
    </row>
    <row r="11812" spans="25:26">
      <c r="Y11812" s="1354"/>
      <c r="Z11812" s="1060"/>
    </row>
    <row r="11813" spans="25:26">
      <c r="Y11813" s="1354"/>
      <c r="Z11813" s="1060"/>
    </row>
    <row r="11814" spans="25:26">
      <c r="Y11814" s="1354"/>
      <c r="Z11814" s="1060"/>
    </row>
    <row r="11815" spans="25:26">
      <c r="Y11815" s="1354"/>
      <c r="Z11815" s="1060"/>
    </row>
    <row r="11816" spans="25:26">
      <c r="Y11816" s="1354"/>
      <c r="Z11816" s="1060"/>
    </row>
    <row r="11817" spans="25:26">
      <c r="Y11817" s="1354"/>
      <c r="Z11817" s="1060"/>
    </row>
    <row r="11818" spans="25:26">
      <c r="Y11818" s="1354"/>
      <c r="Z11818" s="1060"/>
    </row>
    <row r="11819" spans="25:26">
      <c r="Y11819" s="1354"/>
      <c r="Z11819" s="1060"/>
    </row>
    <row r="11820" spans="25:26">
      <c r="Y11820" s="1354"/>
      <c r="Z11820" s="1060"/>
    </row>
    <row r="11821" spans="25:26">
      <c r="Y11821" s="1354"/>
      <c r="Z11821" s="1060"/>
    </row>
    <row r="11822" spans="25:26">
      <c r="Y11822" s="1354"/>
      <c r="Z11822" s="1060"/>
    </row>
    <row r="11823" spans="25:26">
      <c r="Y11823" s="1354"/>
      <c r="Z11823" s="1060"/>
    </row>
    <row r="11824" spans="25:26">
      <c r="Y11824" s="1354"/>
      <c r="Z11824" s="1060"/>
    </row>
    <row r="11825" spans="25:26">
      <c r="Y11825" s="1354"/>
      <c r="Z11825" s="1060"/>
    </row>
    <row r="11826" spans="25:26">
      <c r="Y11826" s="1354"/>
      <c r="Z11826" s="1060"/>
    </row>
    <row r="11827" spans="25:26">
      <c r="Y11827" s="1354"/>
      <c r="Z11827" s="1060"/>
    </row>
    <row r="11828" spans="25:26">
      <c r="Y11828" s="1354"/>
      <c r="Z11828" s="1060"/>
    </row>
    <row r="11829" spans="25:26">
      <c r="Y11829" s="1354"/>
      <c r="Z11829" s="1060"/>
    </row>
    <row r="11830" spans="25:26">
      <c r="Y11830" s="1354"/>
      <c r="Z11830" s="1060"/>
    </row>
    <row r="11831" spans="25:26">
      <c r="Y11831" s="1354"/>
      <c r="Z11831" s="1060"/>
    </row>
    <row r="11832" spans="25:26">
      <c r="Y11832" s="1354"/>
      <c r="Z11832" s="1060"/>
    </row>
    <row r="11833" spans="25:26">
      <c r="Y11833" s="1354"/>
      <c r="Z11833" s="1060"/>
    </row>
    <row r="11834" spans="25:26">
      <c r="Y11834" s="1354"/>
      <c r="Z11834" s="1060"/>
    </row>
    <row r="11835" spans="25:26">
      <c r="Y11835" s="1354"/>
      <c r="Z11835" s="1060"/>
    </row>
    <row r="11836" spans="25:26">
      <c r="Y11836" s="1354"/>
      <c r="Z11836" s="1060"/>
    </row>
    <row r="11837" spans="25:26">
      <c r="Y11837" s="1354"/>
      <c r="Z11837" s="1060"/>
    </row>
    <row r="11838" spans="25:26">
      <c r="Y11838" s="1354"/>
      <c r="Z11838" s="1060"/>
    </row>
    <row r="11839" spans="25:26">
      <c r="Y11839" s="1354"/>
      <c r="Z11839" s="1060"/>
    </row>
    <row r="11840" spans="25:26">
      <c r="Y11840" s="1354"/>
      <c r="Z11840" s="1060"/>
    </row>
    <row r="11841" spans="25:26">
      <c r="Y11841" s="1354"/>
      <c r="Z11841" s="1060"/>
    </row>
    <row r="11842" spans="25:26">
      <c r="Y11842" s="1354"/>
      <c r="Z11842" s="1060"/>
    </row>
    <row r="11843" spans="25:26">
      <c r="Y11843" s="1354"/>
      <c r="Z11843" s="1060"/>
    </row>
    <row r="11844" spans="25:26">
      <c r="Y11844" s="1354"/>
      <c r="Z11844" s="1060"/>
    </row>
    <row r="11845" spans="25:26">
      <c r="Y11845" s="1354"/>
      <c r="Z11845" s="1060"/>
    </row>
    <row r="11846" spans="25:26">
      <c r="Y11846" s="1354"/>
      <c r="Z11846" s="1060"/>
    </row>
    <row r="11847" spans="25:26">
      <c r="Y11847" s="1354"/>
      <c r="Z11847" s="1060"/>
    </row>
    <row r="11848" spans="25:26">
      <c r="Y11848" s="1354"/>
      <c r="Z11848" s="1060"/>
    </row>
    <row r="11849" spans="25:26">
      <c r="Y11849" s="1354"/>
      <c r="Z11849" s="1060"/>
    </row>
    <row r="11850" spans="25:26">
      <c r="Y11850" s="1354"/>
      <c r="Z11850" s="1060"/>
    </row>
    <row r="11851" spans="25:26">
      <c r="Y11851" s="1354"/>
      <c r="Z11851" s="1060"/>
    </row>
    <row r="11852" spans="25:26">
      <c r="Y11852" s="1354"/>
      <c r="Z11852" s="1060"/>
    </row>
    <row r="11853" spans="25:26">
      <c r="Y11853" s="1354"/>
      <c r="Z11853" s="1060"/>
    </row>
    <row r="11854" spans="25:26">
      <c r="Y11854" s="1354"/>
      <c r="Z11854" s="1060"/>
    </row>
    <row r="11855" spans="25:26">
      <c r="Y11855" s="1354"/>
      <c r="Z11855" s="1060"/>
    </row>
    <row r="11856" spans="25:26">
      <c r="Y11856" s="1354"/>
      <c r="Z11856" s="1060"/>
    </row>
    <row r="11857" spans="25:26">
      <c r="Y11857" s="1354"/>
      <c r="Z11857" s="1060"/>
    </row>
    <row r="11858" spans="25:26">
      <c r="Y11858" s="1354"/>
      <c r="Z11858" s="1060"/>
    </row>
    <row r="11859" spans="25:26">
      <c r="Y11859" s="1354"/>
      <c r="Z11859" s="1060"/>
    </row>
    <row r="11860" spans="25:26">
      <c r="Y11860" s="1354"/>
      <c r="Z11860" s="1060"/>
    </row>
    <row r="11861" spans="25:26">
      <c r="Y11861" s="1354"/>
      <c r="Z11861" s="1060"/>
    </row>
    <row r="11862" spans="25:26">
      <c r="Y11862" s="1354"/>
      <c r="Z11862" s="1060"/>
    </row>
    <row r="11863" spans="25:26">
      <c r="Y11863" s="1354"/>
      <c r="Z11863" s="1060"/>
    </row>
    <row r="11864" spans="25:26">
      <c r="Y11864" s="1354"/>
      <c r="Z11864" s="1060"/>
    </row>
    <row r="11865" spans="25:26">
      <c r="Y11865" s="1354"/>
      <c r="Z11865" s="1060"/>
    </row>
    <row r="11866" spans="25:26">
      <c r="Y11866" s="1354"/>
      <c r="Z11866" s="1060"/>
    </row>
    <row r="11867" spans="25:26">
      <c r="Y11867" s="1354"/>
      <c r="Z11867" s="1060"/>
    </row>
    <row r="11868" spans="25:26">
      <c r="Y11868" s="1354"/>
      <c r="Z11868" s="1060"/>
    </row>
    <row r="11869" spans="25:26">
      <c r="Y11869" s="1354"/>
      <c r="Z11869" s="1060"/>
    </row>
    <row r="11870" spans="25:26">
      <c r="Y11870" s="1354"/>
      <c r="Z11870" s="1060"/>
    </row>
    <row r="11871" spans="25:26">
      <c r="Y11871" s="1354"/>
      <c r="Z11871" s="1060"/>
    </row>
    <row r="11872" spans="25:26">
      <c r="Y11872" s="1354"/>
      <c r="Z11872" s="1060"/>
    </row>
    <row r="11873" spans="25:26">
      <c r="Y11873" s="1354"/>
      <c r="Z11873" s="1060"/>
    </row>
    <row r="11874" spans="25:26">
      <c r="Y11874" s="1354"/>
      <c r="Z11874" s="1060"/>
    </row>
    <row r="11875" spans="25:26">
      <c r="Y11875" s="1354"/>
      <c r="Z11875" s="1060"/>
    </row>
    <row r="11876" spans="25:26">
      <c r="Y11876" s="1354"/>
      <c r="Z11876" s="1060"/>
    </row>
    <row r="11877" spans="25:26">
      <c r="Y11877" s="1354"/>
      <c r="Z11877" s="1060"/>
    </row>
    <row r="11878" spans="25:26">
      <c r="Y11878" s="1354"/>
      <c r="Z11878" s="1060"/>
    </row>
    <row r="11879" spans="25:26">
      <c r="Y11879" s="1354"/>
      <c r="Z11879" s="1060"/>
    </row>
    <row r="11880" spans="25:26">
      <c r="Y11880" s="1354"/>
      <c r="Z11880" s="1060"/>
    </row>
    <row r="11881" spans="25:26">
      <c r="Y11881" s="1354"/>
      <c r="Z11881" s="1060"/>
    </row>
    <row r="11882" spans="25:26">
      <c r="Y11882" s="1354"/>
      <c r="Z11882" s="1060"/>
    </row>
    <row r="11883" spans="25:26">
      <c r="Y11883" s="1354"/>
      <c r="Z11883" s="1060"/>
    </row>
    <row r="11884" spans="25:26">
      <c r="Y11884" s="1354"/>
      <c r="Z11884" s="1060"/>
    </row>
    <row r="11885" spans="25:26">
      <c r="Y11885" s="1354"/>
      <c r="Z11885" s="1060"/>
    </row>
    <row r="11886" spans="25:26">
      <c r="Y11886" s="1354"/>
      <c r="Z11886" s="1060"/>
    </row>
    <row r="11887" spans="25:26">
      <c r="Y11887" s="1354"/>
      <c r="Z11887" s="1060"/>
    </row>
    <row r="11888" spans="25:26">
      <c r="Y11888" s="1354"/>
      <c r="Z11888" s="1060"/>
    </row>
    <row r="11889" spans="25:26">
      <c r="Y11889" s="1354"/>
      <c r="Z11889" s="1060"/>
    </row>
    <row r="11890" spans="25:26">
      <c r="Y11890" s="1354"/>
      <c r="Z11890" s="1060"/>
    </row>
    <row r="11891" spans="25:26">
      <c r="Y11891" s="1354"/>
      <c r="Z11891" s="1060"/>
    </row>
    <row r="11892" spans="25:26">
      <c r="Y11892" s="1354"/>
      <c r="Z11892" s="1060"/>
    </row>
    <row r="11893" spans="25:26">
      <c r="Y11893" s="1354"/>
      <c r="Z11893" s="1060"/>
    </row>
    <row r="11894" spans="25:26">
      <c r="Y11894" s="1354"/>
      <c r="Z11894" s="1060"/>
    </row>
    <row r="11895" spans="25:26">
      <c r="Y11895" s="1354"/>
      <c r="Z11895" s="1060"/>
    </row>
    <row r="11896" spans="25:26">
      <c r="Y11896" s="1354"/>
      <c r="Z11896" s="1060"/>
    </row>
    <row r="11897" spans="25:26">
      <c r="Y11897" s="1354"/>
      <c r="Z11897" s="1060"/>
    </row>
    <row r="11898" spans="25:26">
      <c r="Y11898" s="1354"/>
      <c r="Z11898" s="1060"/>
    </row>
    <row r="11899" spans="25:26">
      <c r="Y11899" s="1354"/>
      <c r="Z11899" s="1060"/>
    </row>
    <row r="11900" spans="25:26">
      <c r="Y11900" s="1354"/>
      <c r="Z11900" s="1060"/>
    </row>
    <row r="11901" spans="25:26">
      <c r="Y11901" s="1354"/>
      <c r="Z11901" s="1060"/>
    </row>
    <row r="11902" spans="25:26">
      <c r="Y11902" s="1354"/>
      <c r="Z11902" s="1060"/>
    </row>
    <row r="11903" spans="25:26">
      <c r="Y11903" s="1354"/>
      <c r="Z11903" s="1060"/>
    </row>
    <row r="11904" spans="25:26">
      <c r="Y11904" s="1354"/>
      <c r="Z11904" s="1060"/>
    </row>
    <row r="11905" spans="25:26">
      <c r="Y11905" s="1354"/>
      <c r="Z11905" s="1060"/>
    </row>
    <row r="11906" spans="25:26">
      <c r="Y11906" s="1354"/>
      <c r="Z11906" s="1060"/>
    </row>
    <row r="11907" spans="25:26">
      <c r="Y11907" s="1354"/>
      <c r="Z11907" s="1060"/>
    </row>
    <row r="11908" spans="25:26">
      <c r="Y11908" s="1354"/>
      <c r="Z11908" s="1060"/>
    </row>
    <row r="11909" spans="25:26">
      <c r="Y11909" s="1354"/>
      <c r="Z11909" s="1060"/>
    </row>
    <row r="11910" spans="25:26">
      <c r="Y11910" s="1354"/>
      <c r="Z11910" s="1060"/>
    </row>
    <row r="11911" spans="25:26">
      <c r="Y11911" s="1354"/>
      <c r="Z11911" s="1060"/>
    </row>
    <row r="11912" spans="25:26">
      <c r="Y11912" s="1354"/>
      <c r="Z11912" s="1060"/>
    </row>
    <row r="11913" spans="25:26">
      <c r="Y11913" s="1354"/>
      <c r="Z11913" s="1060"/>
    </row>
    <row r="11914" spans="25:26">
      <c r="Y11914" s="1354"/>
      <c r="Z11914" s="1060"/>
    </row>
    <row r="11915" spans="25:26">
      <c r="Y11915" s="1354"/>
      <c r="Z11915" s="1060"/>
    </row>
    <row r="11916" spans="25:26">
      <c r="Y11916" s="1354"/>
      <c r="Z11916" s="1060"/>
    </row>
    <row r="11917" spans="25:26">
      <c r="Y11917" s="1354"/>
      <c r="Z11917" s="1060"/>
    </row>
    <row r="11918" spans="25:26">
      <c r="Y11918" s="1354"/>
      <c r="Z11918" s="1060"/>
    </row>
    <row r="11919" spans="25:26">
      <c r="Y11919" s="1354"/>
      <c r="Z11919" s="1060"/>
    </row>
    <row r="11920" spans="25:26">
      <c r="Y11920" s="1354"/>
      <c r="Z11920" s="1060"/>
    </row>
    <row r="11921" spans="25:26">
      <c r="Y11921" s="1354"/>
      <c r="Z11921" s="1060"/>
    </row>
    <row r="11922" spans="25:26">
      <c r="Y11922" s="1354"/>
      <c r="Z11922" s="1060"/>
    </row>
    <row r="11923" spans="25:26">
      <c r="Y11923" s="1354"/>
      <c r="Z11923" s="1060"/>
    </row>
    <row r="11924" spans="25:26">
      <c r="Y11924" s="1354"/>
      <c r="Z11924" s="1060"/>
    </row>
    <row r="11925" spans="25:26">
      <c r="Y11925" s="1354"/>
      <c r="Z11925" s="1060"/>
    </row>
    <row r="11926" spans="25:26">
      <c r="Y11926" s="1354"/>
      <c r="Z11926" s="1060"/>
    </row>
    <row r="11927" spans="25:26">
      <c r="Y11927" s="1354"/>
      <c r="Z11927" s="1060"/>
    </row>
    <row r="11928" spans="25:26">
      <c r="Y11928" s="1354"/>
      <c r="Z11928" s="1060"/>
    </row>
    <row r="11929" spans="25:26">
      <c r="Y11929" s="1354"/>
      <c r="Z11929" s="1060"/>
    </row>
    <row r="11930" spans="25:26">
      <c r="Y11930" s="1354"/>
      <c r="Z11930" s="1060"/>
    </row>
    <row r="11931" spans="25:26">
      <c r="Y11931" s="1354"/>
      <c r="Z11931" s="1060"/>
    </row>
    <row r="11932" spans="25:26">
      <c r="Y11932" s="1354"/>
      <c r="Z11932" s="1060"/>
    </row>
    <row r="11933" spans="25:26">
      <c r="Y11933" s="1354"/>
      <c r="Z11933" s="1060"/>
    </row>
    <row r="11934" spans="25:26">
      <c r="Y11934" s="1354"/>
      <c r="Z11934" s="1060"/>
    </row>
    <row r="11935" spans="25:26">
      <c r="Y11935" s="1354"/>
      <c r="Z11935" s="1060"/>
    </row>
    <row r="11936" spans="25:26">
      <c r="Y11936" s="1354"/>
      <c r="Z11936" s="1060"/>
    </row>
    <row r="11937" spans="25:26">
      <c r="Y11937" s="1354"/>
      <c r="Z11937" s="1060"/>
    </row>
    <row r="11938" spans="25:26">
      <c r="Y11938" s="1354"/>
      <c r="Z11938" s="1060"/>
    </row>
    <row r="11939" spans="25:26">
      <c r="Y11939" s="1354"/>
      <c r="Z11939" s="1060"/>
    </row>
    <row r="11940" spans="25:26">
      <c r="Y11940" s="1354"/>
      <c r="Z11940" s="1060"/>
    </row>
    <row r="11941" spans="25:26">
      <c r="Y11941" s="1354"/>
      <c r="Z11941" s="1060"/>
    </row>
    <row r="11942" spans="25:26">
      <c r="Y11942" s="1354"/>
      <c r="Z11942" s="1060"/>
    </row>
    <row r="11943" spans="25:26">
      <c r="Y11943" s="1354"/>
      <c r="Z11943" s="1060"/>
    </row>
    <row r="11944" spans="25:26">
      <c r="Y11944" s="1354"/>
      <c r="Z11944" s="1060"/>
    </row>
    <row r="11945" spans="25:26">
      <c r="Y11945" s="1354"/>
      <c r="Z11945" s="1060"/>
    </row>
    <row r="11946" spans="25:26">
      <c r="Y11946" s="1354"/>
      <c r="Z11946" s="1060"/>
    </row>
    <row r="11947" spans="25:26">
      <c r="Y11947" s="1354"/>
      <c r="Z11947" s="1060"/>
    </row>
    <row r="11948" spans="25:26">
      <c r="Y11948" s="1354"/>
      <c r="Z11948" s="1060"/>
    </row>
    <row r="11949" spans="25:26">
      <c r="Y11949" s="1354"/>
      <c r="Z11949" s="1060"/>
    </row>
    <row r="11950" spans="25:26">
      <c r="Y11950" s="1354"/>
      <c r="Z11950" s="1060"/>
    </row>
    <row r="11951" spans="25:26">
      <c r="Y11951" s="1354"/>
      <c r="Z11951" s="1060"/>
    </row>
    <row r="11952" spans="25:26">
      <c r="Y11952" s="1354"/>
      <c r="Z11952" s="1060"/>
    </row>
    <row r="11953" spans="25:26">
      <c r="Y11953" s="1354"/>
      <c r="Z11953" s="1060"/>
    </row>
    <row r="11954" spans="25:26">
      <c r="Y11954" s="1354"/>
      <c r="Z11954" s="1060"/>
    </row>
    <row r="11955" spans="25:26">
      <c r="Y11955" s="1354"/>
      <c r="Z11955" s="1060"/>
    </row>
    <row r="11956" spans="25:26">
      <c r="Y11956" s="1354"/>
      <c r="Z11956" s="1060"/>
    </row>
    <row r="11957" spans="25:26">
      <c r="Y11957" s="1354"/>
      <c r="Z11957" s="1060"/>
    </row>
    <row r="11958" spans="25:26">
      <c r="Y11958" s="1354"/>
      <c r="Z11958" s="1060"/>
    </row>
    <row r="11959" spans="25:26">
      <c r="Y11959" s="1354"/>
      <c r="Z11959" s="1060"/>
    </row>
    <row r="11960" spans="25:26">
      <c r="Y11960" s="1354"/>
      <c r="Z11960" s="1060"/>
    </row>
    <row r="11961" spans="25:26">
      <c r="Y11961" s="1354"/>
      <c r="Z11961" s="1060"/>
    </row>
    <row r="11962" spans="25:26">
      <c r="Y11962" s="1354"/>
      <c r="Z11962" s="1060"/>
    </row>
    <row r="11963" spans="25:26">
      <c r="Y11963" s="1354"/>
      <c r="Z11963" s="1060"/>
    </row>
    <row r="11964" spans="25:26">
      <c r="Y11964" s="1354"/>
      <c r="Z11964" s="1060"/>
    </row>
    <row r="11965" spans="25:26">
      <c r="Y11965" s="1354"/>
      <c r="Z11965" s="1060"/>
    </row>
    <row r="11966" spans="25:26">
      <c r="Y11966" s="1354"/>
      <c r="Z11966" s="1060"/>
    </row>
    <row r="11967" spans="25:26">
      <c r="Y11967" s="1354"/>
      <c r="Z11967" s="1060"/>
    </row>
    <row r="11968" spans="25:26">
      <c r="Y11968" s="1354"/>
      <c r="Z11968" s="1060"/>
    </row>
    <row r="11969" spans="25:26">
      <c r="Y11969" s="1354"/>
      <c r="Z11969" s="1060"/>
    </row>
    <row r="11970" spans="25:26">
      <c r="Y11970" s="1354"/>
      <c r="Z11970" s="1060"/>
    </row>
    <row r="11971" spans="25:26">
      <c r="Y11971" s="1354"/>
      <c r="Z11971" s="1060"/>
    </row>
    <row r="11972" spans="25:26">
      <c r="Y11972" s="1354"/>
      <c r="Z11972" s="1060"/>
    </row>
    <row r="11973" spans="25:26">
      <c r="Y11973" s="1354"/>
      <c r="Z11973" s="1060"/>
    </row>
    <row r="11974" spans="25:26">
      <c r="Y11974" s="1354"/>
      <c r="Z11974" s="1060"/>
    </row>
    <row r="11975" spans="25:26">
      <c r="Y11975" s="1354"/>
      <c r="Z11975" s="1060"/>
    </row>
    <row r="11976" spans="25:26">
      <c r="Y11976" s="1354"/>
      <c r="Z11976" s="1060"/>
    </row>
    <row r="11977" spans="25:26">
      <c r="Y11977" s="1354"/>
      <c r="Z11977" s="1060"/>
    </row>
    <row r="11978" spans="25:26">
      <c r="Y11978" s="1354"/>
      <c r="Z11978" s="1060"/>
    </row>
    <row r="11979" spans="25:26">
      <c r="Y11979" s="1354"/>
      <c r="Z11979" s="1060"/>
    </row>
    <row r="11980" spans="25:26">
      <c r="Y11980" s="1354"/>
      <c r="Z11980" s="1060"/>
    </row>
    <row r="11981" spans="25:26">
      <c r="Y11981" s="1354"/>
      <c r="Z11981" s="1060"/>
    </row>
    <row r="11982" spans="25:26">
      <c r="Y11982" s="1354"/>
      <c r="Z11982" s="1060"/>
    </row>
    <row r="11983" spans="25:26">
      <c r="Y11983" s="1354"/>
      <c r="Z11983" s="1060"/>
    </row>
    <row r="11984" spans="25:26">
      <c r="Y11984" s="1354"/>
      <c r="Z11984" s="1060"/>
    </row>
    <row r="11985" spans="25:26">
      <c r="Y11985" s="1354"/>
      <c r="Z11985" s="1060"/>
    </row>
    <row r="11986" spans="25:26">
      <c r="Y11986" s="1354"/>
      <c r="Z11986" s="1060"/>
    </row>
    <row r="11987" spans="25:26">
      <c r="Y11987" s="1354"/>
      <c r="Z11987" s="1060"/>
    </row>
    <row r="11988" spans="25:26">
      <c r="Y11988" s="1354"/>
      <c r="Z11988" s="1060"/>
    </row>
    <row r="11989" spans="25:26">
      <c r="Y11989" s="1354"/>
      <c r="Z11989" s="1060"/>
    </row>
    <row r="11990" spans="25:26">
      <c r="Y11990" s="1354"/>
      <c r="Z11990" s="1060"/>
    </row>
    <row r="11991" spans="25:26">
      <c r="Y11991" s="1354"/>
      <c r="Z11991" s="1060"/>
    </row>
    <row r="11992" spans="25:26">
      <c r="Y11992" s="1354"/>
      <c r="Z11992" s="1060"/>
    </row>
    <row r="11993" spans="25:26">
      <c r="Y11993" s="1354"/>
      <c r="Z11993" s="1060"/>
    </row>
    <row r="11994" spans="25:26">
      <c r="Y11994" s="1354"/>
      <c r="Z11994" s="1060"/>
    </row>
    <row r="11995" spans="25:26">
      <c r="Y11995" s="1354"/>
      <c r="Z11995" s="1060"/>
    </row>
    <row r="11996" spans="25:26">
      <c r="Y11996" s="1354"/>
      <c r="Z11996" s="1060"/>
    </row>
    <row r="11997" spans="25:26">
      <c r="Y11997" s="1354"/>
      <c r="Z11997" s="1060"/>
    </row>
    <row r="11998" spans="25:26">
      <c r="Y11998" s="1354"/>
      <c r="Z11998" s="1060"/>
    </row>
    <row r="11999" spans="25:26">
      <c r="Y11999" s="1354"/>
      <c r="Z11999" s="1060"/>
    </row>
    <row r="12000" spans="25:26">
      <c r="Y12000" s="1354"/>
      <c r="Z12000" s="1060"/>
    </row>
    <row r="12001" spans="25:26">
      <c r="Y12001" s="1354"/>
      <c r="Z12001" s="1060"/>
    </row>
    <row r="12002" spans="25:26">
      <c r="Y12002" s="1354"/>
      <c r="Z12002" s="1060"/>
    </row>
    <row r="12003" spans="25:26">
      <c r="Y12003" s="1354"/>
      <c r="Z12003" s="1060"/>
    </row>
    <row r="12004" spans="25:26">
      <c r="Y12004" s="1354"/>
      <c r="Z12004" s="1060"/>
    </row>
    <row r="12005" spans="25:26">
      <c r="Y12005" s="1354"/>
      <c r="Z12005" s="1060"/>
    </row>
    <row r="12006" spans="25:26">
      <c r="Y12006" s="1354"/>
      <c r="Z12006" s="1060"/>
    </row>
    <row r="12007" spans="25:26">
      <c r="Y12007" s="1354"/>
      <c r="Z12007" s="1060"/>
    </row>
    <row r="12008" spans="25:26">
      <c r="Y12008" s="1354"/>
      <c r="Z12008" s="1060"/>
    </row>
    <row r="12009" spans="25:26">
      <c r="Y12009" s="1354"/>
      <c r="Z12009" s="1060"/>
    </row>
    <row r="12010" spans="25:26">
      <c r="Y12010" s="1354"/>
      <c r="Z12010" s="1060"/>
    </row>
    <row r="12011" spans="25:26">
      <c r="Y12011" s="1354"/>
      <c r="Z12011" s="1060"/>
    </row>
    <row r="12012" spans="25:26">
      <c r="Y12012" s="1354"/>
      <c r="Z12012" s="1060"/>
    </row>
    <row r="12013" spans="25:26">
      <c r="Y12013" s="1354"/>
      <c r="Z12013" s="1060"/>
    </row>
    <row r="12014" spans="25:26">
      <c r="Y12014" s="1354"/>
      <c r="Z12014" s="1060"/>
    </row>
    <row r="12015" spans="25:26">
      <c r="Y12015" s="1354"/>
      <c r="Z12015" s="1060"/>
    </row>
    <row r="12016" spans="25:26">
      <c r="Y12016" s="1354"/>
      <c r="Z12016" s="1060"/>
    </row>
    <row r="12017" spans="25:26">
      <c r="Y12017" s="1354"/>
      <c r="Z12017" s="1060"/>
    </row>
    <row r="12018" spans="25:26">
      <c r="Y12018" s="1354"/>
      <c r="Z12018" s="1060"/>
    </row>
    <row r="12019" spans="25:26">
      <c r="Y12019" s="1354"/>
      <c r="Z12019" s="1060"/>
    </row>
    <row r="12020" spans="25:26">
      <c r="Y12020" s="1354"/>
      <c r="Z12020" s="1060"/>
    </row>
    <row r="12021" spans="25:26">
      <c r="Y12021" s="1354"/>
      <c r="Z12021" s="1060"/>
    </row>
    <row r="12022" spans="25:26">
      <c r="Y12022" s="1354"/>
      <c r="Z12022" s="1060"/>
    </row>
    <row r="12023" spans="25:26">
      <c r="Y12023" s="1354"/>
      <c r="Z12023" s="1060"/>
    </row>
    <row r="12024" spans="25:26">
      <c r="Y12024" s="1354"/>
      <c r="Z12024" s="1060"/>
    </row>
    <row r="12025" spans="25:26">
      <c r="Y12025" s="1354"/>
      <c r="Z12025" s="1060"/>
    </row>
    <row r="12026" spans="25:26">
      <c r="Y12026" s="1354"/>
      <c r="Z12026" s="1060"/>
    </row>
    <row r="12027" spans="25:26">
      <c r="Y12027" s="1354"/>
      <c r="Z12027" s="1060"/>
    </row>
    <row r="12028" spans="25:26">
      <c r="Y12028" s="1354"/>
      <c r="Z12028" s="1060"/>
    </row>
    <row r="12029" spans="25:26">
      <c r="Y12029" s="1354"/>
      <c r="Z12029" s="1060"/>
    </row>
    <row r="12030" spans="25:26">
      <c r="Y12030" s="1354"/>
      <c r="Z12030" s="1060"/>
    </row>
    <row r="12031" spans="25:26">
      <c r="Y12031" s="1354"/>
      <c r="Z12031" s="1060"/>
    </row>
    <row r="12032" spans="25:26">
      <c r="Y12032" s="1354"/>
      <c r="Z12032" s="1060"/>
    </row>
    <row r="12033" spans="25:26">
      <c r="Y12033" s="1354"/>
      <c r="Z12033" s="1060"/>
    </row>
    <row r="12034" spans="25:26">
      <c r="Y12034" s="1354"/>
      <c r="Z12034" s="1060"/>
    </row>
    <row r="12035" spans="25:26">
      <c r="Y12035" s="1354"/>
      <c r="Z12035" s="1060"/>
    </row>
    <row r="12036" spans="25:26">
      <c r="Y12036" s="1354"/>
      <c r="Z12036" s="1060"/>
    </row>
    <row r="12037" spans="25:26">
      <c r="Y12037" s="1354"/>
      <c r="Z12037" s="1060"/>
    </row>
    <row r="12038" spans="25:26">
      <c r="Y12038" s="1354"/>
      <c r="Z12038" s="1060"/>
    </row>
    <row r="12039" spans="25:26">
      <c r="Y12039" s="1354"/>
      <c r="Z12039" s="1060"/>
    </row>
    <row r="12040" spans="25:26">
      <c r="Y12040" s="1354"/>
      <c r="Z12040" s="1060"/>
    </row>
    <row r="12041" spans="25:26">
      <c r="Y12041" s="1354"/>
      <c r="Z12041" s="1060"/>
    </row>
    <row r="12042" spans="25:26">
      <c r="Y12042" s="1354"/>
      <c r="Z12042" s="1060"/>
    </row>
    <row r="12043" spans="25:26">
      <c r="Y12043" s="1354"/>
      <c r="Z12043" s="1060"/>
    </row>
    <row r="12044" spans="25:26">
      <c r="Y12044" s="1354"/>
      <c r="Z12044" s="1060"/>
    </row>
    <row r="12045" spans="25:26">
      <c r="Y12045" s="1354"/>
      <c r="Z12045" s="1060"/>
    </row>
    <row r="12046" spans="25:26">
      <c r="Y12046" s="1354"/>
      <c r="Z12046" s="1060"/>
    </row>
    <row r="12047" spans="25:26">
      <c r="Y12047" s="1354"/>
      <c r="Z12047" s="1060"/>
    </row>
    <row r="12048" spans="25:26">
      <c r="Y12048" s="1354"/>
      <c r="Z12048" s="1060"/>
    </row>
    <row r="12049" spans="25:26">
      <c r="Y12049" s="1354"/>
      <c r="Z12049" s="1060"/>
    </row>
    <row r="12050" spans="25:26">
      <c r="Y12050" s="1354"/>
      <c r="Z12050" s="1060"/>
    </row>
    <row r="12051" spans="25:26">
      <c r="Y12051" s="1354"/>
      <c r="Z12051" s="1060"/>
    </row>
    <row r="12052" spans="25:26">
      <c r="Y12052" s="1354"/>
      <c r="Z12052" s="1060"/>
    </row>
    <row r="12053" spans="25:26">
      <c r="Y12053" s="1354"/>
      <c r="Z12053" s="1060"/>
    </row>
    <row r="12054" spans="25:26">
      <c r="Y12054" s="1354"/>
      <c r="Z12054" s="1060"/>
    </row>
    <row r="12055" spans="25:26">
      <c r="Y12055" s="1354"/>
      <c r="Z12055" s="1060"/>
    </row>
    <row r="12056" spans="25:26">
      <c r="Y12056" s="1354"/>
      <c r="Z12056" s="1060"/>
    </row>
    <row r="12057" spans="25:26">
      <c r="Y12057" s="1354"/>
      <c r="Z12057" s="1060"/>
    </row>
    <row r="12058" spans="25:26">
      <c r="Y12058" s="1354"/>
      <c r="Z12058" s="1060"/>
    </row>
    <row r="12059" spans="25:26">
      <c r="Y12059" s="1354"/>
      <c r="Z12059" s="1060"/>
    </row>
    <row r="12060" spans="25:26">
      <c r="Y12060" s="1354"/>
      <c r="Z12060" s="1060"/>
    </row>
    <row r="12061" spans="25:26">
      <c r="Y12061" s="1354"/>
      <c r="Z12061" s="1060"/>
    </row>
    <row r="12062" spans="25:26">
      <c r="Y12062" s="1354"/>
      <c r="Z12062" s="1060"/>
    </row>
    <row r="12063" spans="25:26">
      <c r="Y12063" s="1354"/>
      <c r="Z12063" s="1060"/>
    </row>
    <row r="12064" spans="25:26">
      <c r="Y12064" s="1354"/>
      <c r="Z12064" s="1060"/>
    </row>
    <row r="12065" spans="25:26">
      <c r="Y12065" s="1354"/>
      <c r="Z12065" s="1060"/>
    </row>
    <row r="12066" spans="25:26">
      <c r="Y12066" s="1354"/>
      <c r="Z12066" s="1060"/>
    </row>
    <row r="12067" spans="25:26">
      <c r="Y12067" s="1354"/>
      <c r="Z12067" s="1060"/>
    </row>
    <row r="12068" spans="25:26">
      <c r="Y12068" s="1354"/>
      <c r="Z12068" s="1060"/>
    </row>
    <row r="12069" spans="25:26">
      <c r="Y12069" s="1354"/>
      <c r="Z12069" s="1060"/>
    </row>
    <row r="12070" spans="25:26">
      <c r="Y12070" s="1354"/>
      <c r="Z12070" s="1060"/>
    </row>
    <row r="12071" spans="25:26">
      <c r="Y12071" s="1354"/>
      <c r="Z12071" s="1060"/>
    </row>
    <row r="12072" spans="25:26">
      <c r="Y12072" s="1354"/>
      <c r="Z12072" s="1060"/>
    </row>
    <row r="12073" spans="25:26">
      <c r="Y12073" s="1354"/>
      <c r="Z12073" s="1060"/>
    </row>
    <row r="12074" spans="25:26">
      <c r="Y12074" s="1354"/>
      <c r="Z12074" s="1060"/>
    </row>
    <row r="12075" spans="25:26">
      <c r="Y12075" s="1354"/>
      <c r="Z12075" s="1060"/>
    </row>
    <row r="12076" spans="25:26">
      <c r="Y12076" s="1354"/>
      <c r="Z12076" s="1060"/>
    </row>
    <row r="12077" spans="25:26">
      <c r="Y12077" s="1354"/>
      <c r="Z12077" s="1060"/>
    </row>
    <row r="12078" spans="25:26">
      <c r="Y12078" s="1354"/>
      <c r="Z12078" s="1060"/>
    </row>
    <row r="12079" spans="25:26">
      <c r="Y12079" s="1354"/>
      <c r="Z12079" s="1060"/>
    </row>
    <row r="12080" spans="25:26">
      <c r="Y12080" s="1354"/>
      <c r="Z12080" s="1060"/>
    </row>
    <row r="12081" spans="25:26">
      <c r="Y12081" s="1354"/>
      <c r="Z12081" s="1060"/>
    </row>
    <row r="12082" spans="25:26">
      <c r="Y12082" s="1354"/>
      <c r="Z12082" s="1060"/>
    </row>
    <row r="12083" spans="25:26">
      <c r="Y12083" s="1354"/>
      <c r="Z12083" s="1060"/>
    </row>
    <row r="12084" spans="25:26">
      <c r="Y12084" s="1354"/>
      <c r="Z12084" s="1060"/>
    </row>
    <row r="12085" spans="25:26">
      <c r="Y12085" s="1354"/>
      <c r="Z12085" s="1060"/>
    </row>
    <row r="12086" spans="25:26">
      <c r="Y12086" s="1354"/>
      <c r="Z12086" s="1060"/>
    </row>
    <row r="12087" spans="25:26">
      <c r="Y12087" s="1354"/>
      <c r="Z12087" s="1060"/>
    </row>
    <row r="12088" spans="25:26">
      <c r="Y12088" s="1354"/>
      <c r="Z12088" s="1060"/>
    </row>
    <row r="12089" spans="25:26">
      <c r="Y12089" s="1354"/>
      <c r="Z12089" s="1060"/>
    </row>
    <row r="12090" spans="25:26">
      <c r="Y12090" s="1354"/>
      <c r="Z12090" s="1060"/>
    </row>
    <row r="12091" spans="25:26">
      <c r="Y12091" s="1354"/>
      <c r="Z12091" s="1060"/>
    </row>
    <row r="12092" spans="25:26">
      <c r="Y12092" s="1354"/>
      <c r="Z12092" s="1060"/>
    </row>
    <row r="12093" spans="25:26">
      <c r="Y12093" s="1354"/>
      <c r="Z12093" s="1060"/>
    </row>
    <row r="12094" spans="25:26">
      <c r="Y12094" s="1354"/>
      <c r="Z12094" s="1060"/>
    </row>
    <row r="12095" spans="25:26">
      <c r="Y12095" s="1354"/>
      <c r="Z12095" s="1060"/>
    </row>
    <row r="12096" spans="25:26">
      <c r="Y12096" s="1354"/>
      <c r="Z12096" s="1060"/>
    </row>
    <row r="12097" spans="25:26">
      <c r="Y12097" s="1354"/>
      <c r="Z12097" s="1060"/>
    </row>
    <row r="12098" spans="25:26">
      <c r="Y12098" s="1354"/>
      <c r="Z12098" s="1060"/>
    </row>
    <row r="12099" spans="25:26">
      <c r="Y12099" s="1354"/>
      <c r="Z12099" s="1060"/>
    </row>
    <row r="12100" spans="25:26">
      <c r="Y12100" s="1354"/>
      <c r="Z12100" s="1060"/>
    </row>
    <row r="12101" spans="25:26">
      <c r="Y12101" s="1354"/>
      <c r="Z12101" s="1060"/>
    </row>
    <row r="12102" spans="25:26">
      <c r="Y12102" s="1354"/>
      <c r="Z12102" s="1060"/>
    </row>
    <row r="12103" spans="25:26">
      <c r="Y12103" s="1354"/>
      <c r="Z12103" s="1060"/>
    </row>
    <row r="12104" spans="25:26">
      <c r="Y12104" s="1354"/>
      <c r="Z12104" s="1060"/>
    </row>
    <row r="12105" spans="25:26">
      <c r="Y12105" s="1354"/>
      <c r="Z12105" s="1060"/>
    </row>
    <row r="12106" spans="25:26">
      <c r="Y12106" s="1354"/>
      <c r="Z12106" s="1060"/>
    </row>
    <row r="12107" spans="25:26">
      <c r="Y12107" s="1354"/>
      <c r="Z12107" s="1060"/>
    </row>
    <row r="12108" spans="25:26">
      <c r="Y12108" s="1354"/>
      <c r="Z12108" s="1060"/>
    </row>
    <row r="12109" spans="25:26">
      <c r="Y12109" s="1354"/>
      <c r="Z12109" s="1060"/>
    </row>
    <row r="12110" spans="25:26">
      <c r="Y12110" s="1354"/>
      <c r="Z12110" s="1060"/>
    </row>
    <row r="12111" spans="25:26">
      <c r="Y12111" s="1354"/>
      <c r="Z12111" s="1060"/>
    </row>
    <row r="12112" spans="25:26">
      <c r="Y12112" s="1354"/>
      <c r="Z12112" s="1060"/>
    </row>
    <row r="12113" spans="25:26">
      <c r="Y12113" s="1354"/>
      <c r="Z12113" s="1060"/>
    </row>
    <row r="12114" spans="25:26">
      <c r="Y12114" s="1354"/>
      <c r="Z12114" s="1060"/>
    </row>
    <row r="12115" spans="25:26">
      <c r="Y12115" s="1354"/>
      <c r="Z12115" s="1060"/>
    </row>
    <row r="12116" spans="25:26">
      <c r="Y12116" s="1354"/>
      <c r="Z12116" s="1060"/>
    </row>
    <row r="12117" spans="25:26">
      <c r="Y12117" s="1354"/>
      <c r="Z12117" s="1060"/>
    </row>
    <row r="12118" spans="25:26">
      <c r="Y12118" s="1354"/>
      <c r="Z12118" s="1060"/>
    </row>
    <row r="12119" spans="25:26">
      <c r="Y12119" s="1354"/>
      <c r="Z12119" s="1060"/>
    </row>
    <row r="12120" spans="25:26">
      <c r="Y12120" s="1354"/>
      <c r="Z12120" s="1060"/>
    </row>
    <row r="12121" spans="25:26">
      <c r="Y12121" s="1354"/>
      <c r="Z12121" s="1060"/>
    </row>
    <row r="12122" spans="25:26">
      <c r="Y12122" s="1354"/>
      <c r="Z12122" s="1060"/>
    </row>
    <row r="12123" spans="25:26">
      <c r="Y12123" s="1354"/>
      <c r="Z12123" s="1060"/>
    </row>
    <row r="12124" spans="25:26">
      <c r="Y12124" s="1354"/>
      <c r="Z12124" s="1060"/>
    </row>
    <row r="12125" spans="25:26">
      <c r="Y12125" s="1354"/>
      <c r="Z12125" s="1060"/>
    </row>
    <row r="12126" spans="25:26">
      <c r="Y12126" s="1354"/>
      <c r="Z12126" s="1060"/>
    </row>
    <row r="12127" spans="25:26">
      <c r="Y12127" s="1354"/>
      <c r="Z12127" s="1060"/>
    </row>
    <row r="12128" spans="25:26">
      <c r="Y12128" s="1354"/>
      <c r="Z12128" s="1060"/>
    </row>
    <row r="12129" spans="25:26">
      <c r="Y12129" s="1354"/>
      <c r="Z12129" s="1060"/>
    </row>
    <row r="12130" spans="25:26">
      <c r="Y12130" s="1354"/>
      <c r="Z12130" s="1060"/>
    </row>
    <row r="12131" spans="25:26">
      <c r="Y12131" s="1354"/>
      <c r="Z12131" s="1060"/>
    </row>
    <row r="12132" spans="25:26">
      <c r="Y12132" s="1354"/>
      <c r="Z12132" s="1060"/>
    </row>
    <row r="12133" spans="25:26">
      <c r="Y12133" s="1354"/>
      <c r="Z12133" s="1060"/>
    </row>
    <row r="12134" spans="25:26">
      <c r="Y12134" s="1354"/>
      <c r="Z12134" s="1060"/>
    </row>
    <row r="12135" spans="25:26">
      <c r="Y12135" s="1354"/>
      <c r="Z12135" s="1060"/>
    </row>
    <row r="12136" spans="25:26">
      <c r="Y12136" s="1354"/>
      <c r="Z12136" s="1060"/>
    </row>
    <row r="12137" spans="25:26">
      <c r="Y12137" s="1354"/>
      <c r="Z12137" s="1060"/>
    </row>
    <row r="12138" spans="25:26">
      <c r="Y12138" s="1354"/>
      <c r="Z12138" s="1060"/>
    </row>
    <row r="12139" spans="25:26">
      <c r="Y12139" s="1354"/>
      <c r="Z12139" s="1060"/>
    </row>
    <row r="12140" spans="25:26">
      <c r="Y12140" s="1354"/>
      <c r="Z12140" s="1060"/>
    </row>
    <row r="12141" spans="25:26">
      <c r="Y12141" s="1354"/>
      <c r="Z12141" s="1060"/>
    </row>
    <row r="12142" spans="25:26">
      <c r="Y12142" s="1354"/>
      <c r="Z12142" s="1060"/>
    </row>
    <row r="12143" spans="25:26">
      <c r="Y12143" s="1354"/>
      <c r="Z12143" s="1060"/>
    </row>
    <row r="12144" spans="25:26">
      <c r="Y12144" s="1354"/>
      <c r="Z12144" s="1060"/>
    </row>
    <row r="12145" spans="25:26">
      <c r="Y12145" s="1354"/>
      <c r="Z12145" s="1060"/>
    </row>
    <row r="12146" spans="25:26">
      <c r="Y12146" s="1354"/>
      <c r="Z12146" s="1060"/>
    </row>
    <row r="12147" spans="25:26">
      <c r="Y12147" s="1354"/>
      <c r="Z12147" s="1060"/>
    </row>
    <row r="12148" spans="25:26">
      <c r="Y12148" s="1354"/>
      <c r="Z12148" s="1060"/>
    </row>
    <row r="12149" spans="25:26">
      <c r="Y12149" s="1354"/>
      <c r="Z12149" s="1060"/>
    </row>
    <row r="12150" spans="25:26">
      <c r="Y12150" s="1354"/>
      <c r="Z12150" s="1060"/>
    </row>
    <row r="12151" spans="25:26">
      <c r="Y12151" s="1354"/>
      <c r="Z12151" s="1060"/>
    </row>
    <row r="12152" spans="25:26">
      <c r="Y12152" s="1354"/>
      <c r="Z12152" s="1060"/>
    </row>
    <row r="12153" spans="25:26">
      <c r="Y12153" s="1354"/>
      <c r="Z12153" s="1060"/>
    </row>
    <row r="12154" spans="25:26">
      <c r="Y12154" s="1354"/>
      <c r="Z12154" s="1060"/>
    </row>
    <row r="12155" spans="25:26">
      <c r="Y12155" s="1354"/>
      <c r="Z12155" s="1060"/>
    </row>
    <row r="12156" spans="25:26">
      <c r="Y12156" s="1354"/>
      <c r="Z12156" s="1060"/>
    </row>
    <row r="12157" spans="25:26">
      <c r="Y12157" s="1354"/>
      <c r="Z12157" s="1060"/>
    </row>
    <row r="12158" spans="25:26">
      <c r="Y12158" s="1354"/>
      <c r="Z12158" s="1060"/>
    </row>
    <row r="12159" spans="25:26">
      <c r="Y12159" s="1354"/>
      <c r="Z12159" s="1060"/>
    </row>
    <row r="12160" spans="25:26">
      <c r="Y12160" s="1354"/>
      <c r="Z12160" s="1060"/>
    </row>
    <row r="12161" spans="25:26">
      <c r="Y12161" s="1354"/>
      <c r="Z12161" s="1060"/>
    </row>
    <row r="12162" spans="25:26">
      <c r="Y12162" s="1354"/>
      <c r="Z12162" s="1060"/>
    </row>
    <row r="12163" spans="25:26">
      <c r="Y12163" s="1354"/>
      <c r="Z12163" s="1060"/>
    </row>
    <row r="12164" spans="25:26">
      <c r="Y12164" s="1354"/>
      <c r="Z12164" s="1060"/>
    </row>
    <row r="12165" spans="25:26">
      <c r="Y12165" s="1354"/>
      <c r="Z12165" s="1060"/>
    </row>
    <row r="12166" spans="25:26">
      <c r="Y12166" s="1354"/>
      <c r="Z12166" s="1060"/>
    </row>
    <row r="12167" spans="25:26">
      <c r="Y12167" s="1354"/>
      <c r="Z12167" s="1060"/>
    </row>
    <row r="12168" spans="25:26">
      <c r="Y12168" s="1354"/>
      <c r="Z12168" s="1060"/>
    </row>
    <row r="12169" spans="25:26">
      <c r="Y12169" s="1354"/>
      <c r="Z12169" s="1060"/>
    </row>
    <row r="12170" spans="25:26">
      <c r="Y12170" s="1354"/>
      <c r="Z12170" s="1060"/>
    </row>
    <row r="12171" spans="25:26">
      <c r="Y12171" s="1354"/>
      <c r="Z12171" s="1060"/>
    </row>
    <row r="12172" spans="25:26">
      <c r="Y12172" s="1354"/>
      <c r="Z12172" s="1060"/>
    </row>
    <row r="12173" spans="25:26">
      <c r="Y12173" s="1354"/>
      <c r="Z12173" s="1060"/>
    </row>
    <row r="12174" spans="25:26">
      <c r="Y12174" s="1354"/>
      <c r="Z12174" s="1060"/>
    </row>
    <row r="12175" spans="25:26">
      <c r="Y12175" s="1354"/>
      <c r="Z12175" s="1060"/>
    </row>
    <row r="12176" spans="25:26">
      <c r="Y12176" s="1354"/>
      <c r="Z12176" s="1060"/>
    </row>
    <row r="12177" spans="25:26">
      <c r="Y12177" s="1354"/>
      <c r="Z12177" s="1060"/>
    </row>
    <row r="12178" spans="25:26">
      <c r="Y12178" s="1354"/>
      <c r="Z12178" s="1060"/>
    </row>
    <row r="12179" spans="25:26">
      <c r="Y12179" s="1354"/>
      <c r="Z12179" s="1060"/>
    </row>
    <row r="12180" spans="25:26">
      <c r="Y12180" s="1354"/>
      <c r="Z12180" s="1060"/>
    </row>
    <row r="12181" spans="25:26">
      <c r="Y12181" s="1354"/>
      <c r="Z12181" s="1060"/>
    </row>
    <row r="12182" spans="25:26">
      <c r="Y12182" s="1354"/>
      <c r="Z12182" s="1060"/>
    </row>
    <row r="12183" spans="25:26">
      <c r="Y12183" s="1354"/>
      <c r="Z12183" s="1060"/>
    </row>
    <row r="12184" spans="25:26">
      <c r="Y12184" s="1354"/>
      <c r="Z12184" s="1060"/>
    </row>
    <row r="12185" spans="25:26">
      <c r="Y12185" s="1354"/>
      <c r="Z12185" s="1060"/>
    </row>
    <row r="12186" spans="25:26">
      <c r="Y12186" s="1354"/>
      <c r="Z12186" s="1060"/>
    </row>
    <row r="12187" spans="25:26">
      <c r="Y12187" s="1354"/>
      <c r="Z12187" s="1060"/>
    </row>
    <row r="12188" spans="25:26">
      <c r="Y12188" s="1354"/>
      <c r="Z12188" s="1060"/>
    </row>
    <row r="12189" spans="25:26">
      <c r="Y12189" s="1354"/>
      <c r="Z12189" s="1060"/>
    </row>
    <row r="12190" spans="25:26">
      <c r="Y12190" s="1354"/>
      <c r="Z12190" s="1060"/>
    </row>
    <row r="12191" spans="25:26">
      <c r="Y12191" s="1354"/>
      <c r="Z12191" s="1060"/>
    </row>
    <row r="12192" spans="25:26">
      <c r="Y12192" s="1354"/>
      <c r="Z12192" s="1060"/>
    </row>
    <row r="12193" spans="25:26">
      <c r="Y12193" s="1354"/>
      <c r="Z12193" s="1060"/>
    </row>
    <row r="12194" spans="25:26">
      <c r="Y12194" s="1354"/>
      <c r="Z12194" s="1060"/>
    </row>
    <row r="12195" spans="25:26">
      <c r="Y12195" s="1354"/>
      <c r="Z12195" s="1060"/>
    </row>
    <row r="12196" spans="25:26">
      <c r="Y12196" s="1354"/>
      <c r="Z12196" s="1060"/>
    </row>
    <row r="12197" spans="25:26">
      <c r="Y12197" s="1354"/>
      <c r="Z12197" s="1060"/>
    </row>
    <row r="12198" spans="25:26">
      <c r="Y12198" s="1354"/>
      <c r="Z12198" s="1060"/>
    </row>
    <row r="12199" spans="25:26">
      <c r="Y12199" s="1354"/>
      <c r="Z12199" s="1060"/>
    </row>
    <row r="12200" spans="25:26">
      <c r="Y12200" s="1354"/>
      <c r="Z12200" s="1060"/>
    </row>
    <row r="12201" spans="25:26">
      <c r="Y12201" s="1354"/>
      <c r="Z12201" s="1060"/>
    </row>
    <row r="12202" spans="25:26">
      <c r="Y12202" s="1354"/>
      <c r="Z12202" s="1060"/>
    </row>
    <row r="12203" spans="25:26">
      <c r="Y12203" s="1354"/>
      <c r="Z12203" s="1060"/>
    </row>
    <row r="12204" spans="25:26">
      <c r="Y12204" s="1354"/>
      <c r="Z12204" s="1060"/>
    </row>
    <row r="12205" spans="25:26">
      <c r="Y12205" s="1354"/>
      <c r="Z12205" s="1060"/>
    </row>
    <row r="12206" spans="25:26">
      <c r="Y12206" s="1354"/>
      <c r="Z12206" s="1060"/>
    </row>
    <row r="12207" spans="25:26">
      <c r="Y12207" s="1354"/>
      <c r="Z12207" s="1060"/>
    </row>
    <row r="12208" spans="25:26">
      <c r="Y12208" s="1354"/>
      <c r="Z12208" s="1060"/>
    </row>
    <row r="12209" spans="25:26">
      <c r="Y12209" s="1354"/>
      <c r="Z12209" s="1060"/>
    </row>
    <row r="12210" spans="25:26">
      <c r="Y12210" s="1354"/>
      <c r="Z12210" s="1060"/>
    </row>
    <row r="12211" spans="25:26">
      <c r="Y12211" s="1354"/>
      <c r="Z12211" s="1060"/>
    </row>
    <row r="12212" spans="25:26">
      <c r="Y12212" s="1354"/>
      <c r="Z12212" s="1060"/>
    </row>
    <row r="12213" spans="25:26">
      <c r="Y12213" s="1354"/>
      <c r="Z12213" s="1060"/>
    </row>
    <row r="12214" spans="25:26">
      <c r="Y12214" s="1354"/>
      <c r="Z12214" s="1060"/>
    </row>
    <row r="12215" spans="25:26">
      <c r="Y12215" s="1354"/>
      <c r="Z12215" s="1060"/>
    </row>
    <row r="12216" spans="25:26">
      <c r="Y12216" s="1354"/>
      <c r="Z12216" s="1060"/>
    </row>
    <row r="12217" spans="25:26">
      <c r="Y12217" s="1354"/>
      <c r="Z12217" s="1060"/>
    </row>
    <row r="12218" spans="25:26">
      <c r="Y12218" s="1354"/>
      <c r="Z12218" s="1060"/>
    </row>
    <row r="12219" spans="25:26">
      <c r="Y12219" s="1354"/>
      <c r="Z12219" s="1060"/>
    </row>
    <row r="12220" spans="25:26">
      <c r="Y12220" s="1354"/>
      <c r="Z12220" s="1060"/>
    </row>
    <row r="12221" spans="25:26">
      <c r="Y12221" s="1354"/>
      <c r="Z12221" s="1060"/>
    </row>
    <row r="12222" spans="25:26">
      <c r="Y12222" s="1354"/>
      <c r="Z12222" s="1060"/>
    </row>
    <row r="12223" spans="25:26">
      <c r="Y12223" s="1354"/>
      <c r="Z12223" s="1060"/>
    </row>
    <row r="12224" spans="25:26">
      <c r="Y12224" s="1354"/>
      <c r="Z12224" s="1060"/>
    </row>
    <row r="12225" spans="25:26">
      <c r="Y12225" s="1354"/>
      <c r="Z12225" s="1060"/>
    </row>
    <row r="12226" spans="25:26">
      <c r="Y12226" s="1354"/>
      <c r="Z12226" s="1060"/>
    </row>
    <row r="12227" spans="25:26">
      <c r="Y12227" s="1354"/>
      <c r="Z12227" s="1060"/>
    </row>
    <row r="12228" spans="25:26">
      <c r="Y12228" s="1354"/>
      <c r="Z12228" s="1060"/>
    </row>
    <row r="12229" spans="25:26">
      <c r="Y12229" s="1354"/>
      <c r="Z12229" s="1060"/>
    </row>
    <row r="12230" spans="25:26">
      <c r="Y12230" s="1354"/>
      <c r="Z12230" s="1060"/>
    </row>
    <row r="12231" spans="25:26">
      <c r="Y12231" s="1354"/>
      <c r="Z12231" s="1060"/>
    </row>
    <row r="12232" spans="25:26">
      <c r="Y12232" s="1354"/>
      <c r="Z12232" s="1060"/>
    </row>
    <row r="12233" spans="25:26">
      <c r="Y12233" s="1354"/>
      <c r="Z12233" s="1060"/>
    </row>
    <row r="12234" spans="25:26">
      <c r="Y12234" s="1354"/>
      <c r="Z12234" s="1060"/>
    </row>
    <row r="12235" spans="25:26">
      <c r="Y12235" s="1354"/>
      <c r="Z12235" s="1060"/>
    </row>
    <row r="12236" spans="25:26">
      <c r="Y12236" s="1354"/>
      <c r="Z12236" s="1060"/>
    </row>
    <row r="12237" spans="25:26">
      <c r="Y12237" s="1354"/>
      <c r="Z12237" s="1060"/>
    </row>
    <row r="12238" spans="25:26">
      <c r="Y12238" s="1354"/>
      <c r="Z12238" s="1060"/>
    </row>
    <row r="12239" spans="25:26">
      <c r="Y12239" s="1354"/>
      <c r="Z12239" s="1060"/>
    </row>
    <row r="12240" spans="25:26">
      <c r="Y12240" s="1354"/>
      <c r="Z12240" s="1060"/>
    </row>
    <row r="12241" spans="25:26">
      <c r="Y12241" s="1354"/>
      <c r="Z12241" s="1060"/>
    </row>
    <row r="12242" spans="25:26">
      <c r="Y12242" s="1354"/>
      <c r="Z12242" s="1060"/>
    </row>
    <row r="12243" spans="25:26">
      <c r="Y12243" s="1354"/>
      <c r="Z12243" s="1060"/>
    </row>
    <row r="12244" spans="25:26">
      <c r="Y12244" s="1354"/>
      <c r="Z12244" s="1060"/>
    </row>
    <row r="12245" spans="25:26">
      <c r="Y12245" s="1354"/>
      <c r="Z12245" s="1060"/>
    </row>
    <row r="12246" spans="25:26">
      <c r="Y12246" s="1354"/>
      <c r="Z12246" s="1060"/>
    </row>
    <row r="12247" spans="25:26">
      <c r="Y12247" s="1354"/>
      <c r="Z12247" s="1060"/>
    </row>
    <row r="12248" spans="25:26">
      <c r="Y12248" s="1354"/>
      <c r="Z12248" s="1060"/>
    </row>
    <row r="12249" spans="25:26">
      <c r="Y12249" s="1354"/>
      <c r="Z12249" s="1060"/>
    </row>
    <row r="12250" spans="25:26">
      <c r="Y12250" s="1354"/>
      <c r="Z12250" s="1060"/>
    </row>
    <row r="12251" spans="25:26">
      <c r="Y12251" s="1354"/>
      <c r="Z12251" s="1060"/>
    </row>
    <row r="12252" spans="25:26">
      <c r="Y12252" s="1354"/>
      <c r="Z12252" s="1060"/>
    </row>
    <row r="12253" spans="25:26">
      <c r="Y12253" s="1354"/>
      <c r="Z12253" s="1060"/>
    </row>
    <row r="12254" spans="25:26">
      <c r="Y12254" s="1354"/>
      <c r="Z12254" s="1060"/>
    </row>
    <row r="12255" spans="25:26">
      <c r="Y12255" s="1354"/>
      <c r="Z12255" s="1060"/>
    </row>
    <row r="12256" spans="25:26">
      <c r="Y12256" s="1354"/>
      <c r="Z12256" s="1060"/>
    </row>
    <row r="12257" spans="25:26">
      <c r="Y12257" s="1354"/>
      <c r="Z12257" s="1060"/>
    </row>
    <row r="12258" spans="25:26">
      <c r="Y12258" s="1354"/>
      <c r="Z12258" s="1060"/>
    </row>
    <row r="12259" spans="25:26">
      <c r="Y12259" s="1354"/>
      <c r="Z12259" s="1060"/>
    </row>
    <row r="12260" spans="25:26">
      <c r="Y12260" s="1354"/>
      <c r="Z12260" s="1060"/>
    </row>
    <row r="12261" spans="25:26">
      <c r="Y12261" s="1354"/>
      <c r="Z12261" s="1060"/>
    </row>
    <row r="12262" spans="25:26">
      <c r="Y12262" s="1354"/>
      <c r="Z12262" s="1060"/>
    </row>
    <row r="12263" spans="25:26">
      <c r="Y12263" s="1354"/>
      <c r="Z12263" s="1060"/>
    </row>
    <row r="12264" spans="25:26">
      <c r="Y12264" s="1354"/>
      <c r="Z12264" s="1060"/>
    </row>
    <row r="12265" spans="25:26">
      <c r="Y12265" s="1354"/>
      <c r="Z12265" s="1060"/>
    </row>
    <row r="12266" spans="25:26">
      <c r="Y12266" s="1354"/>
      <c r="Z12266" s="1060"/>
    </row>
    <row r="12267" spans="25:26">
      <c r="Y12267" s="1354"/>
      <c r="Z12267" s="1060"/>
    </row>
    <row r="12268" spans="25:26">
      <c r="Y12268" s="1354"/>
      <c r="Z12268" s="1060"/>
    </row>
    <row r="12269" spans="25:26">
      <c r="Y12269" s="1354"/>
      <c r="Z12269" s="1060"/>
    </row>
    <row r="12270" spans="25:26">
      <c r="Y12270" s="1354"/>
      <c r="Z12270" s="1060"/>
    </row>
    <row r="12271" spans="25:26">
      <c r="Y12271" s="1354"/>
      <c r="Z12271" s="1060"/>
    </row>
    <row r="12272" spans="25:26">
      <c r="Y12272" s="1354"/>
      <c r="Z12272" s="1060"/>
    </row>
    <row r="12273" spans="25:26">
      <c r="Y12273" s="1354"/>
      <c r="Z12273" s="1060"/>
    </row>
    <row r="12274" spans="25:26">
      <c r="Y12274" s="1354"/>
      <c r="Z12274" s="1060"/>
    </row>
    <row r="12275" spans="25:26">
      <c r="Y12275" s="1354"/>
      <c r="Z12275" s="1060"/>
    </row>
    <row r="12276" spans="25:26">
      <c r="Y12276" s="1354"/>
      <c r="Z12276" s="1060"/>
    </row>
    <row r="12277" spans="25:26">
      <c r="Y12277" s="1354"/>
      <c r="Z12277" s="1060"/>
    </row>
    <row r="12278" spans="25:26">
      <c r="Y12278" s="1354"/>
      <c r="Z12278" s="1060"/>
    </row>
    <row r="12279" spans="25:26">
      <c r="Y12279" s="1354"/>
      <c r="Z12279" s="1060"/>
    </row>
    <row r="12280" spans="25:26">
      <c r="Y12280" s="1354"/>
      <c r="Z12280" s="1060"/>
    </row>
    <row r="12281" spans="25:26">
      <c r="Y12281" s="1354"/>
      <c r="Z12281" s="1060"/>
    </row>
    <row r="12282" spans="25:26">
      <c r="Y12282" s="1354"/>
      <c r="Z12282" s="1060"/>
    </row>
    <row r="12283" spans="25:26">
      <c r="Y12283" s="1354"/>
      <c r="Z12283" s="1060"/>
    </row>
    <row r="12284" spans="25:26">
      <c r="Y12284" s="1354"/>
      <c r="Z12284" s="1060"/>
    </row>
    <row r="12285" spans="25:26">
      <c r="Y12285" s="1354"/>
      <c r="Z12285" s="1060"/>
    </row>
    <row r="12286" spans="25:26">
      <c r="Y12286" s="1354"/>
      <c r="Z12286" s="1060"/>
    </row>
    <row r="12287" spans="25:26">
      <c r="Y12287" s="1354"/>
      <c r="Z12287" s="1060"/>
    </row>
    <row r="12288" spans="25:26">
      <c r="Y12288" s="1354"/>
      <c r="Z12288" s="1060"/>
    </row>
    <row r="12289" spans="25:26">
      <c r="Y12289" s="1354"/>
      <c r="Z12289" s="1060"/>
    </row>
    <row r="12290" spans="25:26">
      <c r="Y12290" s="1354"/>
      <c r="Z12290" s="1060"/>
    </row>
    <row r="12291" spans="25:26">
      <c r="Y12291" s="1354"/>
      <c r="Z12291" s="1060"/>
    </row>
    <row r="12292" spans="25:26">
      <c r="Y12292" s="1354"/>
      <c r="Z12292" s="1060"/>
    </row>
    <row r="12293" spans="25:26">
      <c r="Y12293" s="1354"/>
      <c r="Z12293" s="1060"/>
    </row>
    <row r="12294" spans="25:26">
      <c r="Y12294" s="1354"/>
      <c r="Z12294" s="1060"/>
    </row>
    <row r="12295" spans="25:26">
      <c r="Y12295" s="1354"/>
      <c r="Z12295" s="1060"/>
    </row>
    <row r="12296" spans="25:26">
      <c r="Y12296" s="1354"/>
      <c r="Z12296" s="1060"/>
    </row>
    <row r="12297" spans="25:26">
      <c r="Y12297" s="1354"/>
      <c r="Z12297" s="1060"/>
    </row>
    <row r="12298" spans="25:26">
      <c r="Y12298" s="1354"/>
      <c r="Z12298" s="1060"/>
    </row>
    <row r="12299" spans="25:26">
      <c r="Y12299" s="1354"/>
      <c r="Z12299" s="1060"/>
    </row>
    <row r="12300" spans="25:26">
      <c r="Y12300" s="1354"/>
      <c r="Z12300" s="1060"/>
    </row>
    <row r="12301" spans="25:26">
      <c r="Y12301" s="1354"/>
      <c r="Z12301" s="1060"/>
    </row>
    <row r="12302" spans="25:26">
      <c r="Y12302" s="1354"/>
      <c r="Z12302" s="1060"/>
    </row>
    <row r="12303" spans="25:26">
      <c r="Y12303" s="1354"/>
      <c r="Z12303" s="1060"/>
    </row>
    <row r="12304" spans="25:26">
      <c r="Y12304" s="1354"/>
      <c r="Z12304" s="1060"/>
    </row>
    <row r="12305" spans="25:26">
      <c r="Y12305" s="1354"/>
      <c r="Z12305" s="1060"/>
    </row>
    <row r="12306" spans="25:26">
      <c r="Y12306" s="1354"/>
      <c r="Z12306" s="1060"/>
    </row>
    <row r="12307" spans="25:26">
      <c r="Y12307" s="1354"/>
      <c r="Z12307" s="1060"/>
    </row>
    <row r="12308" spans="25:26">
      <c r="Y12308" s="1354"/>
      <c r="Z12308" s="1060"/>
    </row>
    <row r="12309" spans="25:26">
      <c r="Y12309" s="1354"/>
      <c r="Z12309" s="1060"/>
    </row>
    <row r="12310" spans="25:26">
      <c r="Y12310" s="1354"/>
      <c r="Z12310" s="1060"/>
    </row>
    <row r="12311" spans="25:26">
      <c r="Y12311" s="1354"/>
      <c r="Z12311" s="1060"/>
    </row>
    <row r="12312" spans="25:26">
      <c r="Y12312" s="1354"/>
      <c r="Z12312" s="1060"/>
    </row>
    <row r="12313" spans="25:26">
      <c r="Y12313" s="1354"/>
      <c r="Z12313" s="1060"/>
    </row>
    <row r="12314" spans="25:26">
      <c r="Y12314" s="1354"/>
      <c r="Z12314" s="1060"/>
    </row>
    <row r="12315" spans="25:26">
      <c r="Y12315" s="1354"/>
      <c r="Z12315" s="1060"/>
    </row>
    <row r="12316" spans="25:26">
      <c r="Y12316" s="1354"/>
      <c r="Z12316" s="1060"/>
    </row>
    <row r="12317" spans="25:26">
      <c r="Y12317" s="1354"/>
      <c r="Z12317" s="1060"/>
    </row>
    <row r="12318" spans="25:26">
      <c r="Y12318" s="1354"/>
      <c r="Z12318" s="1060"/>
    </row>
    <row r="12319" spans="25:26">
      <c r="Y12319" s="1354"/>
      <c r="Z12319" s="1060"/>
    </row>
    <row r="12320" spans="25:26">
      <c r="Y12320" s="1354"/>
      <c r="Z12320" s="1060"/>
    </row>
    <row r="12321" spans="25:26">
      <c r="Y12321" s="1354"/>
      <c r="Z12321" s="1060"/>
    </row>
    <row r="12322" spans="25:26">
      <c r="Y12322" s="1354"/>
      <c r="Z12322" s="1060"/>
    </row>
    <row r="12323" spans="25:26">
      <c r="Y12323" s="1354"/>
      <c r="Z12323" s="1060"/>
    </row>
    <row r="12324" spans="25:26">
      <c r="Y12324" s="1354"/>
      <c r="Z12324" s="1060"/>
    </row>
    <row r="12325" spans="25:26">
      <c r="Y12325" s="1354"/>
      <c r="Z12325" s="1060"/>
    </row>
    <row r="12326" spans="25:26">
      <c r="Y12326" s="1354"/>
      <c r="Z12326" s="1060"/>
    </row>
    <row r="12327" spans="25:26">
      <c r="Y12327" s="1354"/>
      <c r="Z12327" s="1060"/>
    </row>
    <row r="12328" spans="25:26">
      <c r="Y12328" s="1354"/>
      <c r="Z12328" s="1060"/>
    </row>
    <row r="12329" spans="25:26">
      <c r="Y12329" s="1354"/>
      <c r="Z12329" s="1060"/>
    </row>
    <row r="12330" spans="25:26">
      <c r="Y12330" s="1354"/>
      <c r="Z12330" s="1060"/>
    </row>
    <row r="12331" spans="25:26">
      <c r="Y12331" s="1354"/>
      <c r="Z12331" s="1060"/>
    </row>
    <row r="12332" spans="25:26">
      <c r="Y12332" s="1354"/>
      <c r="Z12332" s="1060"/>
    </row>
    <row r="12333" spans="25:26">
      <c r="Y12333" s="1354"/>
      <c r="Z12333" s="1060"/>
    </row>
    <row r="12334" spans="25:26">
      <c r="Y12334" s="1354"/>
      <c r="Z12334" s="1060"/>
    </row>
    <row r="12335" spans="25:26">
      <c r="Y12335" s="1354"/>
      <c r="Z12335" s="1060"/>
    </row>
    <row r="12336" spans="25:26">
      <c r="Y12336" s="1354"/>
      <c r="Z12336" s="1060"/>
    </row>
    <row r="12337" spans="25:26">
      <c r="Y12337" s="1354"/>
      <c r="Z12337" s="1060"/>
    </row>
    <row r="12338" spans="25:26">
      <c r="Y12338" s="1354"/>
      <c r="Z12338" s="1060"/>
    </row>
    <row r="12339" spans="25:26">
      <c r="Y12339" s="1354"/>
      <c r="Z12339" s="1060"/>
    </row>
    <row r="12340" spans="25:26">
      <c r="Y12340" s="1354"/>
      <c r="Z12340" s="1060"/>
    </row>
    <row r="12341" spans="25:26">
      <c r="Y12341" s="1354"/>
      <c r="Z12341" s="1060"/>
    </row>
    <row r="12342" spans="25:26">
      <c r="Y12342" s="1354"/>
      <c r="Z12342" s="1060"/>
    </row>
    <row r="12343" spans="25:26">
      <c r="Y12343" s="1354"/>
      <c r="Z12343" s="1060"/>
    </row>
    <row r="12344" spans="25:26">
      <c r="Y12344" s="1354"/>
      <c r="Z12344" s="1060"/>
    </row>
    <row r="12345" spans="25:26">
      <c r="Y12345" s="1354"/>
      <c r="Z12345" s="1060"/>
    </row>
    <row r="12346" spans="25:26">
      <c r="Y12346" s="1354"/>
      <c r="Z12346" s="1060"/>
    </row>
    <row r="12347" spans="25:26">
      <c r="Y12347" s="1354"/>
      <c r="Z12347" s="1060"/>
    </row>
    <row r="12348" spans="25:26">
      <c r="Y12348" s="1354"/>
      <c r="Z12348" s="1060"/>
    </row>
    <row r="12349" spans="25:26">
      <c r="Y12349" s="1354"/>
      <c r="Z12349" s="1060"/>
    </row>
    <row r="12350" spans="25:26">
      <c r="Y12350" s="1354"/>
      <c r="Z12350" s="1060"/>
    </row>
    <row r="12351" spans="25:26">
      <c r="Y12351" s="1354"/>
      <c r="Z12351" s="1060"/>
    </row>
    <row r="12352" spans="25:26">
      <c r="Y12352" s="1354"/>
      <c r="Z12352" s="1060"/>
    </row>
    <row r="12353" spans="25:26">
      <c r="Y12353" s="1354"/>
      <c r="Z12353" s="1060"/>
    </row>
    <row r="12354" spans="25:26">
      <c r="Y12354" s="1354"/>
      <c r="Z12354" s="1060"/>
    </row>
    <row r="12355" spans="25:26">
      <c r="Y12355" s="1354"/>
      <c r="Z12355" s="1060"/>
    </row>
    <row r="12356" spans="25:26">
      <c r="Y12356" s="1354"/>
      <c r="Z12356" s="1060"/>
    </row>
    <row r="12357" spans="25:26">
      <c r="Y12357" s="1354"/>
      <c r="Z12357" s="1060"/>
    </row>
    <row r="12358" spans="25:26">
      <c r="Y12358" s="1354"/>
      <c r="Z12358" s="1060"/>
    </row>
    <row r="12359" spans="25:26">
      <c r="Y12359" s="1354"/>
      <c r="Z12359" s="1060"/>
    </row>
    <row r="12360" spans="25:26">
      <c r="Y12360" s="1354"/>
      <c r="Z12360" s="1060"/>
    </row>
    <row r="12361" spans="25:26">
      <c r="Y12361" s="1354"/>
      <c r="Z12361" s="1060"/>
    </row>
    <row r="12362" spans="25:26">
      <c r="Y12362" s="1354"/>
      <c r="Z12362" s="1060"/>
    </row>
    <row r="12363" spans="25:26">
      <c r="Y12363" s="1354"/>
      <c r="Z12363" s="1060"/>
    </row>
    <row r="12364" spans="25:26">
      <c r="Y12364" s="1354"/>
      <c r="Z12364" s="1060"/>
    </row>
    <row r="12365" spans="25:26">
      <c r="Y12365" s="1354"/>
      <c r="Z12365" s="1060"/>
    </row>
    <row r="12366" spans="25:26">
      <c r="Y12366" s="1354"/>
      <c r="Z12366" s="1060"/>
    </row>
    <row r="12367" spans="25:26">
      <c r="Y12367" s="1354"/>
      <c r="Z12367" s="1060"/>
    </row>
    <row r="12368" spans="25:26">
      <c r="Y12368" s="1354"/>
      <c r="Z12368" s="1060"/>
    </row>
    <row r="12369" spans="25:26">
      <c r="Y12369" s="1354"/>
      <c r="Z12369" s="1060"/>
    </row>
    <row r="12370" spans="25:26">
      <c r="Y12370" s="1354"/>
      <c r="Z12370" s="1060"/>
    </row>
    <row r="12371" spans="25:26">
      <c r="Y12371" s="1354"/>
      <c r="Z12371" s="1060"/>
    </row>
    <row r="12372" spans="25:26">
      <c r="Y12372" s="1354"/>
      <c r="Z12372" s="1060"/>
    </row>
    <row r="12373" spans="25:26">
      <c r="Y12373" s="1354"/>
      <c r="Z12373" s="1060"/>
    </row>
    <row r="12374" spans="25:26">
      <c r="Y12374" s="1354"/>
      <c r="Z12374" s="1060"/>
    </row>
    <row r="12375" spans="25:26">
      <c r="Y12375" s="1354"/>
      <c r="Z12375" s="1060"/>
    </row>
    <row r="12376" spans="25:26">
      <c r="Y12376" s="1354"/>
      <c r="Z12376" s="1060"/>
    </row>
    <row r="12377" spans="25:26">
      <c r="Y12377" s="1354"/>
      <c r="Z12377" s="1060"/>
    </row>
    <row r="12378" spans="25:26">
      <c r="Y12378" s="1354"/>
      <c r="Z12378" s="1060"/>
    </row>
    <row r="12379" spans="25:26">
      <c r="Y12379" s="1354"/>
      <c r="Z12379" s="1060"/>
    </row>
    <row r="12380" spans="25:26">
      <c r="Y12380" s="1354"/>
      <c r="Z12380" s="1060"/>
    </row>
    <row r="12381" spans="25:26">
      <c r="Y12381" s="1354"/>
      <c r="Z12381" s="1060"/>
    </row>
    <row r="12382" spans="25:26">
      <c r="Y12382" s="1354"/>
      <c r="Z12382" s="1060"/>
    </row>
    <row r="12383" spans="25:26">
      <c r="Y12383" s="1354"/>
      <c r="Z12383" s="1060"/>
    </row>
    <row r="12384" spans="25:26">
      <c r="Y12384" s="1354"/>
      <c r="Z12384" s="1060"/>
    </row>
    <row r="12385" spans="25:26">
      <c r="Y12385" s="1354"/>
      <c r="Z12385" s="1060"/>
    </row>
    <row r="12386" spans="25:26">
      <c r="Y12386" s="1354"/>
      <c r="Z12386" s="1060"/>
    </row>
    <row r="12387" spans="25:26">
      <c r="Y12387" s="1354"/>
      <c r="Z12387" s="1060"/>
    </row>
    <row r="12388" spans="25:26">
      <c r="Y12388" s="1354"/>
      <c r="Z12388" s="1060"/>
    </row>
    <row r="12389" spans="25:26">
      <c r="Y12389" s="1354"/>
      <c r="Z12389" s="1060"/>
    </row>
    <row r="12390" spans="25:26">
      <c r="Y12390" s="1354"/>
      <c r="Z12390" s="1060"/>
    </row>
    <row r="12391" spans="25:26">
      <c r="Y12391" s="1354"/>
      <c r="Z12391" s="1060"/>
    </row>
    <row r="12392" spans="25:26">
      <c r="Y12392" s="1354"/>
      <c r="Z12392" s="1060"/>
    </row>
    <row r="12393" spans="25:26">
      <c r="Y12393" s="1354"/>
      <c r="Z12393" s="1060"/>
    </row>
    <row r="12394" spans="25:26">
      <c r="Y12394" s="1354"/>
      <c r="Z12394" s="1060"/>
    </row>
    <row r="12395" spans="25:26">
      <c r="Y12395" s="1354"/>
      <c r="Z12395" s="1060"/>
    </row>
    <row r="12396" spans="25:26">
      <c r="Y12396" s="1354"/>
      <c r="Z12396" s="1060"/>
    </row>
    <row r="12397" spans="25:26">
      <c r="Y12397" s="1354"/>
      <c r="Z12397" s="1060"/>
    </row>
    <row r="12398" spans="25:26">
      <c r="Y12398" s="1354"/>
      <c r="Z12398" s="1060"/>
    </row>
    <row r="12399" spans="25:26">
      <c r="Y12399" s="1354"/>
      <c r="Z12399" s="1060"/>
    </row>
    <row r="12400" spans="25:26">
      <c r="Y12400" s="1354"/>
      <c r="Z12400" s="1060"/>
    </row>
    <row r="12401" spans="25:26">
      <c r="Y12401" s="1354"/>
      <c r="Z12401" s="1060"/>
    </row>
    <row r="12402" spans="25:26">
      <c r="Y12402" s="1354"/>
      <c r="Z12402" s="1060"/>
    </row>
    <row r="12403" spans="25:26">
      <c r="Y12403" s="1354"/>
      <c r="Z12403" s="1060"/>
    </row>
    <row r="12404" spans="25:26">
      <c r="Y12404" s="1354"/>
      <c r="Z12404" s="1060"/>
    </row>
    <row r="12405" spans="25:26">
      <c r="Y12405" s="1354"/>
      <c r="Z12405" s="1060"/>
    </row>
    <row r="12406" spans="25:26">
      <c r="Y12406" s="1354"/>
      <c r="Z12406" s="1060"/>
    </row>
    <row r="12407" spans="25:26">
      <c r="Y12407" s="1354"/>
      <c r="Z12407" s="1060"/>
    </row>
    <row r="12408" spans="25:26">
      <c r="Y12408" s="1354"/>
      <c r="Z12408" s="1060"/>
    </row>
    <row r="12409" spans="25:26">
      <c r="Y12409" s="1354"/>
      <c r="Z12409" s="1060"/>
    </row>
    <row r="12410" spans="25:26">
      <c r="Y12410" s="1354"/>
      <c r="Z12410" s="1060"/>
    </row>
    <row r="12411" spans="25:26">
      <c r="Y12411" s="1354"/>
      <c r="Z12411" s="1060"/>
    </row>
    <row r="12412" spans="25:26">
      <c r="Y12412" s="1354"/>
      <c r="Z12412" s="1060"/>
    </row>
    <row r="12413" spans="25:26">
      <c r="Y12413" s="1354"/>
      <c r="Z12413" s="1060"/>
    </row>
    <row r="12414" spans="25:26">
      <c r="Y12414" s="1354"/>
      <c r="Z12414" s="1060"/>
    </row>
    <row r="12415" spans="25:26">
      <c r="Y12415" s="1354"/>
      <c r="Z12415" s="1060"/>
    </row>
    <row r="12416" spans="25:26">
      <c r="Y12416" s="1354"/>
      <c r="Z12416" s="1060"/>
    </row>
    <row r="12417" spans="25:26">
      <c r="Y12417" s="1354"/>
      <c r="Z12417" s="1060"/>
    </row>
    <row r="12418" spans="25:26">
      <c r="Y12418" s="1354"/>
      <c r="Z12418" s="1060"/>
    </row>
    <row r="12419" spans="25:26">
      <c r="Y12419" s="1354"/>
      <c r="Z12419" s="1060"/>
    </row>
    <row r="12420" spans="25:26">
      <c r="Y12420" s="1354"/>
      <c r="Z12420" s="1060"/>
    </row>
    <row r="12421" spans="25:26">
      <c r="Y12421" s="1354"/>
      <c r="Z12421" s="1060"/>
    </row>
    <row r="12422" spans="25:26">
      <c r="Y12422" s="1354"/>
      <c r="Z12422" s="1060"/>
    </row>
    <row r="12423" spans="25:26">
      <c r="Y12423" s="1354"/>
      <c r="Z12423" s="1060"/>
    </row>
    <row r="12424" spans="25:26">
      <c r="Y12424" s="1354"/>
      <c r="Z12424" s="1060"/>
    </row>
    <row r="12425" spans="25:26">
      <c r="Y12425" s="1354"/>
      <c r="Z12425" s="1060"/>
    </row>
    <row r="12426" spans="25:26">
      <c r="Y12426" s="1354"/>
      <c r="Z12426" s="1060"/>
    </row>
    <row r="12427" spans="25:26">
      <c r="Y12427" s="1354"/>
      <c r="Z12427" s="1060"/>
    </row>
    <row r="12428" spans="25:26">
      <c r="Y12428" s="1354"/>
      <c r="Z12428" s="1060"/>
    </row>
    <row r="12429" spans="25:26">
      <c r="Y12429" s="1354"/>
      <c r="Z12429" s="1060"/>
    </row>
    <row r="12430" spans="25:26">
      <c r="Y12430" s="1354"/>
      <c r="Z12430" s="1060"/>
    </row>
    <row r="12431" spans="25:26">
      <c r="Y12431" s="1354"/>
      <c r="Z12431" s="1060"/>
    </row>
    <row r="12432" spans="25:26">
      <c r="Y12432" s="1354"/>
      <c r="Z12432" s="1060"/>
    </row>
    <row r="12433" spans="25:26">
      <c r="Y12433" s="1354"/>
      <c r="Z12433" s="1060"/>
    </row>
    <row r="12434" spans="25:26">
      <c r="Y12434" s="1354"/>
      <c r="Z12434" s="1060"/>
    </row>
    <row r="12435" spans="25:26">
      <c r="Y12435" s="1354"/>
      <c r="Z12435" s="1060"/>
    </row>
    <row r="12436" spans="25:26">
      <c r="Y12436" s="1354"/>
      <c r="Z12436" s="1060"/>
    </row>
    <row r="12437" spans="25:26">
      <c r="Y12437" s="1354"/>
      <c r="Z12437" s="1060"/>
    </row>
    <row r="12438" spans="25:26">
      <c r="Y12438" s="1354"/>
      <c r="Z12438" s="1060"/>
    </row>
    <row r="12439" spans="25:26">
      <c r="Y12439" s="1354"/>
      <c r="Z12439" s="1060"/>
    </row>
    <row r="12440" spans="25:26">
      <c r="Y12440" s="1354"/>
      <c r="Z12440" s="1060"/>
    </row>
    <row r="12441" spans="25:26">
      <c r="Y12441" s="1354"/>
      <c r="Z12441" s="1060"/>
    </row>
    <row r="12442" spans="25:26">
      <c r="Y12442" s="1354"/>
      <c r="Z12442" s="1060"/>
    </row>
    <row r="12443" spans="25:26">
      <c r="Y12443" s="1354"/>
      <c r="Z12443" s="1060"/>
    </row>
    <row r="12444" spans="25:26">
      <c r="Y12444" s="1354"/>
      <c r="Z12444" s="1060"/>
    </row>
    <row r="12445" spans="25:26">
      <c r="Y12445" s="1354"/>
      <c r="Z12445" s="1060"/>
    </row>
    <row r="12446" spans="25:26">
      <c r="Y12446" s="1354"/>
      <c r="Z12446" s="1060"/>
    </row>
    <row r="12447" spans="25:26">
      <c r="Y12447" s="1354"/>
      <c r="Z12447" s="1060"/>
    </row>
    <row r="12448" spans="25:26">
      <c r="Y12448" s="1354"/>
      <c r="Z12448" s="1060"/>
    </row>
    <row r="12449" spans="25:26">
      <c r="Y12449" s="1354"/>
      <c r="Z12449" s="1060"/>
    </row>
    <row r="12450" spans="25:26">
      <c r="Y12450" s="1354"/>
      <c r="Z12450" s="1060"/>
    </row>
    <row r="12451" spans="25:26">
      <c r="Y12451" s="1354"/>
      <c r="Z12451" s="1060"/>
    </row>
    <row r="12452" spans="25:26">
      <c r="Y12452" s="1354"/>
      <c r="Z12452" s="1060"/>
    </row>
    <row r="12453" spans="25:26">
      <c r="Y12453" s="1354"/>
      <c r="Z12453" s="1060"/>
    </row>
    <row r="12454" spans="25:26">
      <c r="Y12454" s="1354"/>
      <c r="Z12454" s="1060"/>
    </row>
    <row r="12455" spans="25:26">
      <c r="Y12455" s="1354"/>
      <c r="Z12455" s="1060"/>
    </row>
    <row r="12456" spans="25:26">
      <c r="Y12456" s="1354"/>
      <c r="Z12456" s="1060"/>
    </row>
    <row r="12457" spans="25:26">
      <c r="Y12457" s="1354"/>
      <c r="Z12457" s="1060"/>
    </row>
    <row r="12458" spans="25:26">
      <c r="Y12458" s="1354"/>
      <c r="Z12458" s="1060"/>
    </row>
    <row r="12459" spans="25:26">
      <c r="Y12459" s="1354"/>
      <c r="Z12459" s="1060"/>
    </row>
    <row r="12460" spans="25:26">
      <c r="Y12460" s="1354"/>
      <c r="Z12460" s="1060"/>
    </row>
    <row r="12461" spans="25:26">
      <c r="Y12461" s="1354"/>
      <c r="Z12461" s="1060"/>
    </row>
    <row r="12462" spans="25:26">
      <c r="Y12462" s="1354"/>
      <c r="Z12462" s="1060"/>
    </row>
    <row r="12463" spans="25:26">
      <c r="Y12463" s="1354"/>
      <c r="Z12463" s="1060"/>
    </row>
    <row r="12464" spans="25:26">
      <c r="Y12464" s="1354"/>
      <c r="Z12464" s="1060"/>
    </row>
    <row r="12465" spans="25:26">
      <c r="Y12465" s="1354"/>
      <c r="Z12465" s="1060"/>
    </row>
    <row r="12466" spans="25:26">
      <c r="Y12466" s="1354"/>
      <c r="Z12466" s="1060"/>
    </row>
    <row r="12467" spans="25:26">
      <c r="Y12467" s="1354"/>
      <c r="Z12467" s="1060"/>
    </row>
    <row r="12468" spans="25:26">
      <c r="Y12468" s="1354"/>
      <c r="Z12468" s="1060"/>
    </row>
    <row r="12469" spans="25:26">
      <c r="Y12469" s="1354"/>
      <c r="Z12469" s="1060"/>
    </row>
    <row r="12470" spans="25:26">
      <c r="Y12470" s="1354"/>
      <c r="Z12470" s="1060"/>
    </row>
    <row r="12471" spans="25:26">
      <c r="Y12471" s="1354"/>
      <c r="Z12471" s="1060"/>
    </row>
    <row r="12472" spans="25:26">
      <c r="Y12472" s="1354"/>
      <c r="Z12472" s="1060"/>
    </row>
    <row r="12473" spans="25:26">
      <c r="Y12473" s="1354"/>
      <c r="Z12473" s="1060"/>
    </row>
    <row r="12474" spans="25:26">
      <c r="Y12474" s="1354"/>
      <c r="Z12474" s="1060"/>
    </row>
    <row r="12475" spans="25:26">
      <c r="Y12475" s="1354"/>
      <c r="Z12475" s="1060"/>
    </row>
    <row r="12476" spans="25:26">
      <c r="Y12476" s="1354"/>
      <c r="Z12476" s="1060"/>
    </row>
    <row r="12477" spans="25:26">
      <c r="Y12477" s="1354"/>
      <c r="Z12477" s="1060"/>
    </row>
    <row r="12478" spans="25:26">
      <c r="Y12478" s="1354"/>
      <c r="Z12478" s="1060"/>
    </row>
    <row r="12479" spans="25:26">
      <c r="Y12479" s="1354"/>
      <c r="Z12479" s="1060"/>
    </row>
    <row r="12480" spans="25:26">
      <c r="Y12480" s="1354"/>
      <c r="Z12480" s="1060"/>
    </row>
    <row r="12481" spans="25:26">
      <c r="Y12481" s="1354"/>
      <c r="Z12481" s="1060"/>
    </row>
    <row r="12482" spans="25:26">
      <c r="Y12482" s="1354"/>
      <c r="Z12482" s="1060"/>
    </row>
    <row r="12483" spans="25:26">
      <c r="Y12483" s="1354"/>
      <c r="Z12483" s="1060"/>
    </row>
    <row r="12484" spans="25:26">
      <c r="Y12484" s="1354"/>
      <c r="Z12484" s="1060"/>
    </row>
    <row r="12485" spans="25:26">
      <c r="Y12485" s="1354"/>
      <c r="Z12485" s="1060"/>
    </row>
    <row r="12486" spans="25:26">
      <c r="Y12486" s="1354"/>
      <c r="Z12486" s="1060"/>
    </row>
    <row r="12487" spans="25:26">
      <c r="Y12487" s="1354"/>
      <c r="Z12487" s="1060"/>
    </row>
    <row r="12488" spans="25:26">
      <c r="Y12488" s="1354"/>
      <c r="Z12488" s="1060"/>
    </row>
    <row r="12489" spans="25:26">
      <c r="Y12489" s="1354"/>
      <c r="Z12489" s="1060"/>
    </row>
    <row r="12490" spans="25:26">
      <c r="Y12490" s="1354"/>
      <c r="Z12490" s="1060"/>
    </row>
    <row r="12491" spans="25:26">
      <c r="Y12491" s="1354"/>
      <c r="Z12491" s="1060"/>
    </row>
    <row r="12492" spans="25:26">
      <c r="Y12492" s="1354"/>
      <c r="Z12492" s="1060"/>
    </row>
    <row r="12493" spans="25:26">
      <c r="Y12493" s="1354"/>
      <c r="Z12493" s="1060"/>
    </row>
    <row r="12494" spans="25:26">
      <c r="Y12494" s="1354"/>
      <c r="Z12494" s="1060"/>
    </row>
    <row r="12495" spans="25:26">
      <c r="Y12495" s="1354"/>
      <c r="Z12495" s="1060"/>
    </row>
    <row r="12496" spans="25:26">
      <c r="Y12496" s="1354"/>
      <c r="Z12496" s="1060"/>
    </row>
    <row r="12497" spans="25:26">
      <c r="Y12497" s="1354"/>
      <c r="Z12497" s="1060"/>
    </row>
    <row r="12498" spans="25:26">
      <c r="Y12498" s="1354"/>
      <c r="Z12498" s="1060"/>
    </row>
    <row r="12499" spans="25:26">
      <c r="Y12499" s="1354"/>
      <c r="Z12499" s="1060"/>
    </row>
    <row r="12500" spans="25:26">
      <c r="Y12500" s="1354"/>
      <c r="Z12500" s="1060"/>
    </row>
    <row r="12501" spans="25:26">
      <c r="Y12501" s="1354"/>
      <c r="Z12501" s="1060"/>
    </row>
    <row r="12502" spans="25:26">
      <c r="Y12502" s="1354"/>
      <c r="Z12502" s="1060"/>
    </row>
    <row r="12503" spans="25:26">
      <c r="Y12503" s="1354"/>
      <c r="Z12503" s="1060"/>
    </row>
    <row r="12504" spans="25:26">
      <c r="Y12504" s="1354"/>
      <c r="Z12504" s="1060"/>
    </row>
    <row r="12505" spans="25:26">
      <c r="Y12505" s="1354"/>
      <c r="Z12505" s="1060"/>
    </row>
    <row r="12506" spans="25:26">
      <c r="Y12506" s="1354"/>
      <c r="Z12506" s="1060"/>
    </row>
    <row r="12507" spans="25:26">
      <c r="Y12507" s="1354"/>
      <c r="Z12507" s="1060"/>
    </row>
    <row r="12508" spans="25:26">
      <c r="Y12508" s="1354"/>
      <c r="Z12508" s="1060"/>
    </row>
    <row r="12509" spans="25:26">
      <c r="Y12509" s="1354"/>
      <c r="Z12509" s="1060"/>
    </row>
    <row r="12510" spans="25:26">
      <c r="Y12510" s="1354"/>
      <c r="Z12510" s="1060"/>
    </row>
    <row r="12511" spans="25:26">
      <c r="Y12511" s="1354"/>
      <c r="Z12511" s="1060"/>
    </row>
    <row r="12512" spans="25:26">
      <c r="Y12512" s="1354"/>
      <c r="Z12512" s="1060"/>
    </row>
    <row r="12513" spans="25:26">
      <c r="Y12513" s="1354"/>
      <c r="Z12513" s="1060"/>
    </row>
    <row r="12514" spans="25:26">
      <c r="Y12514" s="1354"/>
      <c r="Z12514" s="1060"/>
    </row>
    <row r="12515" spans="25:26">
      <c r="Y12515" s="1354"/>
      <c r="Z12515" s="1060"/>
    </row>
    <row r="12516" spans="25:26">
      <c r="Y12516" s="1354"/>
      <c r="Z12516" s="1060"/>
    </row>
    <row r="12517" spans="25:26">
      <c r="Y12517" s="1354"/>
      <c r="Z12517" s="1060"/>
    </row>
    <row r="12518" spans="25:26">
      <c r="Y12518" s="1354"/>
      <c r="Z12518" s="1060"/>
    </row>
    <row r="12519" spans="25:26">
      <c r="Y12519" s="1354"/>
      <c r="Z12519" s="1060"/>
    </row>
    <row r="12520" spans="25:26">
      <c r="Y12520" s="1354"/>
      <c r="Z12520" s="1060"/>
    </row>
    <row r="12521" spans="25:26">
      <c r="Y12521" s="1354"/>
      <c r="Z12521" s="1060"/>
    </row>
    <row r="12522" spans="25:26">
      <c r="Y12522" s="1354"/>
      <c r="Z12522" s="1060"/>
    </row>
    <row r="12523" spans="25:26">
      <c r="Y12523" s="1354"/>
      <c r="Z12523" s="1060"/>
    </row>
    <row r="12524" spans="25:26">
      <c r="Y12524" s="1354"/>
      <c r="Z12524" s="1060"/>
    </row>
    <row r="12525" spans="25:26">
      <c r="Y12525" s="1354"/>
      <c r="Z12525" s="1060"/>
    </row>
    <row r="12526" spans="25:26">
      <c r="Y12526" s="1354"/>
      <c r="Z12526" s="1060"/>
    </row>
    <row r="12527" spans="25:26">
      <c r="Y12527" s="1354"/>
      <c r="Z12527" s="1060"/>
    </row>
    <row r="12528" spans="25:26">
      <c r="Y12528" s="1354"/>
      <c r="Z12528" s="1060"/>
    </row>
    <row r="12529" spans="25:26">
      <c r="Y12529" s="1354"/>
      <c r="Z12529" s="1060"/>
    </row>
    <row r="12530" spans="25:26">
      <c r="Y12530" s="1354"/>
      <c r="Z12530" s="1060"/>
    </row>
    <row r="12531" spans="25:26">
      <c r="Y12531" s="1354"/>
      <c r="Z12531" s="1060"/>
    </row>
    <row r="12532" spans="25:26">
      <c r="Y12532" s="1354"/>
      <c r="Z12532" s="1060"/>
    </row>
    <row r="12533" spans="25:26">
      <c r="Y12533" s="1354"/>
      <c r="Z12533" s="1060"/>
    </row>
    <row r="12534" spans="25:26">
      <c r="Y12534" s="1354"/>
      <c r="Z12534" s="1060"/>
    </row>
    <row r="12535" spans="25:26">
      <c r="Y12535" s="1354"/>
      <c r="Z12535" s="1060"/>
    </row>
    <row r="12536" spans="25:26">
      <c r="Y12536" s="1354"/>
      <c r="Z12536" s="1060"/>
    </row>
    <row r="12537" spans="25:26">
      <c r="Y12537" s="1354"/>
      <c r="Z12537" s="1060"/>
    </row>
    <row r="12538" spans="25:26">
      <c r="Y12538" s="1354"/>
      <c r="Z12538" s="1060"/>
    </row>
    <row r="12539" spans="25:26">
      <c r="Y12539" s="1354"/>
      <c r="Z12539" s="1060"/>
    </row>
    <row r="12540" spans="25:26">
      <c r="Y12540" s="1354"/>
      <c r="Z12540" s="1060"/>
    </row>
    <row r="12541" spans="25:26">
      <c r="Y12541" s="1354"/>
      <c r="Z12541" s="1060"/>
    </row>
    <row r="12542" spans="25:26">
      <c r="Y12542" s="1354"/>
      <c r="Z12542" s="1060"/>
    </row>
    <row r="12543" spans="25:26">
      <c r="Y12543" s="1354"/>
      <c r="Z12543" s="1060"/>
    </row>
    <row r="12544" spans="25:26">
      <c r="Y12544" s="1354"/>
      <c r="Z12544" s="1060"/>
    </row>
    <row r="12545" spans="25:26">
      <c r="Y12545" s="1354"/>
      <c r="Z12545" s="1060"/>
    </row>
    <row r="12546" spans="25:26">
      <c r="Y12546" s="1354"/>
      <c r="Z12546" s="1060"/>
    </row>
    <row r="12547" spans="25:26">
      <c r="Y12547" s="1354"/>
      <c r="Z12547" s="1060"/>
    </row>
    <row r="12548" spans="25:26">
      <c r="Y12548" s="1354"/>
      <c r="Z12548" s="1060"/>
    </row>
    <row r="12549" spans="25:26">
      <c r="Y12549" s="1354"/>
      <c r="Z12549" s="1060"/>
    </row>
    <row r="12550" spans="25:26">
      <c r="Y12550" s="1354"/>
      <c r="Z12550" s="1060"/>
    </row>
    <row r="12551" spans="25:26">
      <c r="Y12551" s="1354"/>
      <c r="Z12551" s="1060"/>
    </row>
    <row r="12552" spans="25:26">
      <c r="Y12552" s="1354"/>
      <c r="Z12552" s="1060"/>
    </row>
    <row r="12553" spans="25:26">
      <c r="Y12553" s="1354"/>
      <c r="Z12553" s="1060"/>
    </row>
    <row r="12554" spans="25:26">
      <c r="Y12554" s="1354"/>
      <c r="Z12554" s="1060"/>
    </row>
    <row r="12555" spans="25:26">
      <c r="Y12555" s="1354"/>
      <c r="Z12555" s="1060"/>
    </row>
    <row r="12556" spans="25:26">
      <c r="Y12556" s="1354"/>
      <c r="Z12556" s="1060"/>
    </row>
    <row r="12557" spans="25:26">
      <c r="Y12557" s="1354"/>
      <c r="Z12557" s="1060"/>
    </row>
    <row r="12558" spans="25:26">
      <c r="Y12558" s="1354"/>
      <c r="Z12558" s="1060"/>
    </row>
    <row r="12559" spans="25:26">
      <c r="Y12559" s="1354"/>
      <c r="Z12559" s="1060"/>
    </row>
    <row r="12560" spans="25:26">
      <c r="Y12560" s="1354"/>
      <c r="Z12560" s="1060"/>
    </row>
    <row r="12561" spans="25:26">
      <c r="Y12561" s="1354"/>
      <c r="Z12561" s="1060"/>
    </row>
    <row r="12562" spans="25:26">
      <c r="Y12562" s="1354"/>
      <c r="Z12562" s="1060"/>
    </row>
    <row r="12563" spans="25:26">
      <c r="Y12563" s="1354"/>
      <c r="Z12563" s="1060"/>
    </row>
    <row r="12564" spans="25:26">
      <c r="Y12564" s="1354"/>
      <c r="Z12564" s="1060"/>
    </row>
    <row r="12565" spans="25:26">
      <c r="Y12565" s="1354"/>
      <c r="Z12565" s="1060"/>
    </row>
    <row r="12566" spans="25:26">
      <c r="Y12566" s="1354"/>
      <c r="Z12566" s="1060"/>
    </row>
    <row r="12567" spans="25:26">
      <c r="Y12567" s="1354"/>
      <c r="Z12567" s="1060"/>
    </row>
    <row r="12568" spans="25:26">
      <c r="Y12568" s="1354"/>
      <c r="Z12568" s="1060"/>
    </row>
    <row r="12569" spans="25:26">
      <c r="Y12569" s="1354"/>
      <c r="Z12569" s="1060"/>
    </row>
    <row r="12570" spans="25:26">
      <c r="Y12570" s="1354"/>
      <c r="Z12570" s="1060"/>
    </row>
    <row r="12571" spans="25:26">
      <c r="Y12571" s="1354"/>
      <c r="Z12571" s="1060"/>
    </row>
    <row r="12572" spans="25:26">
      <c r="Y12572" s="1354"/>
      <c r="Z12572" s="1060"/>
    </row>
    <row r="12573" spans="25:26">
      <c r="Y12573" s="1354"/>
      <c r="Z12573" s="1060"/>
    </row>
    <row r="12574" spans="25:26">
      <c r="Y12574" s="1354"/>
      <c r="Z12574" s="1060"/>
    </row>
    <row r="12575" spans="25:26">
      <c r="Y12575" s="1354"/>
      <c r="Z12575" s="1060"/>
    </row>
    <row r="12576" spans="25:26">
      <c r="Y12576" s="1354"/>
      <c r="Z12576" s="1060"/>
    </row>
    <row r="12577" spans="25:26">
      <c r="Y12577" s="1354"/>
      <c r="Z12577" s="1060"/>
    </row>
    <row r="12578" spans="25:26">
      <c r="Y12578" s="1354"/>
      <c r="Z12578" s="1060"/>
    </row>
    <row r="12579" spans="25:26">
      <c r="Y12579" s="1354"/>
      <c r="Z12579" s="1060"/>
    </row>
    <row r="12580" spans="25:26">
      <c r="Y12580" s="1354"/>
      <c r="Z12580" s="1060"/>
    </row>
    <row r="12581" spans="25:26">
      <c r="Y12581" s="1354"/>
      <c r="Z12581" s="1060"/>
    </row>
    <row r="12582" spans="25:26">
      <c r="Y12582" s="1354"/>
      <c r="Z12582" s="1060"/>
    </row>
    <row r="12583" spans="25:26">
      <c r="Y12583" s="1354"/>
      <c r="Z12583" s="1060"/>
    </row>
    <row r="12584" spans="25:26">
      <c r="Y12584" s="1354"/>
      <c r="Z12584" s="1060"/>
    </row>
    <row r="12585" spans="25:26">
      <c r="Y12585" s="1354"/>
      <c r="Z12585" s="1060"/>
    </row>
    <row r="12586" spans="25:26">
      <c r="Y12586" s="1354"/>
      <c r="Z12586" s="1060"/>
    </row>
    <row r="12587" spans="25:26">
      <c r="Y12587" s="1354"/>
      <c r="Z12587" s="1060"/>
    </row>
    <row r="12588" spans="25:26">
      <c r="Y12588" s="1354"/>
      <c r="Z12588" s="1060"/>
    </row>
    <row r="12589" spans="25:26">
      <c r="Y12589" s="1354"/>
      <c r="Z12589" s="1060"/>
    </row>
    <row r="12590" spans="25:26">
      <c r="Y12590" s="1354"/>
      <c r="Z12590" s="1060"/>
    </row>
    <row r="12591" spans="25:26">
      <c r="Y12591" s="1354"/>
      <c r="Z12591" s="1060"/>
    </row>
    <row r="12592" spans="25:26">
      <c r="Y12592" s="1354"/>
      <c r="Z12592" s="1060"/>
    </row>
    <row r="12593" spans="25:26">
      <c r="Y12593" s="1354"/>
      <c r="Z12593" s="1060"/>
    </row>
    <row r="12594" spans="25:26">
      <c r="Y12594" s="1354"/>
      <c r="Z12594" s="1060"/>
    </row>
    <row r="12595" spans="25:26">
      <c r="Y12595" s="1354"/>
      <c r="Z12595" s="1060"/>
    </row>
    <row r="12596" spans="25:26">
      <c r="Y12596" s="1354"/>
      <c r="Z12596" s="1060"/>
    </row>
    <row r="12597" spans="25:26">
      <c r="Y12597" s="1354"/>
      <c r="Z12597" s="1060"/>
    </row>
    <row r="12598" spans="25:26">
      <c r="Y12598" s="1354"/>
      <c r="Z12598" s="1060"/>
    </row>
    <row r="12599" spans="25:26">
      <c r="Y12599" s="1354"/>
      <c r="Z12599" s="1060"/>
    </row>
    <row r="12600" spans="25:26">
      <c r="Y12600" s="1354"/>
      <c r="Z12600" s="1060"/>
    </row>
    <row r="12601" spans="25:26">
      <c r="Y12601" s="1354"/>
      <c r="Z12601" s="1060"/>
    </row>
    <row r="12602" spans="25:26">
      <c r="Y12602" s="1354"/>
      <c r="Z12602" s="1060"/>
    </row>
    <row r="12603" spans="25:26">
      <c r="Y12603" s="1354"/>
      <c r="Z12603" s="1060"/>
    </row>
    <row r="12604" spans="25:26">
      <c r="Y12604" s="1354"/>
      <c r="Z12604" s="1060"/>
    </row>
    <row r="12605" spans="25:26">
      <c r="Y12605" s="1354"/>
      <c r="Z12605" s="1060"/>
    </row>
    <row r="12606" spans="25:26">
      <c r="Y12606" s="1354"/>
      <c r="Z12606" s="1060"/>
    </row>
    <row r="12607" spans="25:26">
      <c r="Y12607" s="1354"/>
      <c r="Z12607" s="1060"/>
    </row>
    <row r="12608" spans="25:26">
      <c r="Y12608" s="1354"/>
      <c r="Z12608" s="1060"/>
    </row>
    <row r="12609" spans="25:26">
      <c r="Y12609" s="1354"/>
      <c r="Z12609" s="1060"/>
    </row>
    <row r="12610" spans="25:26">
      <c r="Y12610" s="1354"/>
      <c r="Z12610" s="1060"/>
    </row>
    <row r="12611" spans="25:26">
      <c r="Y12611" s="1354"/>
      <c r="Z12611" s="1060"/>
    </row>
    <row r="12612" spans="25:26">
      <c r="Y12612" s="1354"/>
      <c r="Z12612" s="1060"/>
    </row>
    <row r="12613" spans="25:26">
      <c r="Y12613" s="1354"/>
      <c r="Z12613" s="1060"/>
    </row>
    <row r="12614" spans="25:26">
      <c r="Y12614" s="1354"/>
      <c r="Z12614" s="1060"/>
    </row>
    <row r="12615" spans="25:26">
      <c r="Y12615" s="1354"/>
      <c r="Z12615" s="1060"/>
    </row>
    <row r="12616" spans="25:26">
      <c r="Y12616" s="1354"/>
      <c r="Z12616" s="1060"/>
    </row>
    <row r="12617" spans="25:26">
      <c r="Y12617" s="1354"/>
      <c r="Z12617" s="1060"/>
    </row>
    <row r="12618" spans="25:26">
      <c r="Y12618" s="1354"/>
      <c r="Z12618" s="1060"/>
    </row>
    <row r="12619" spans="25:26">
      <c r="Y12619" s="1354"/>
      <c r="Z12619" s="1060"/>
    </row>
    <row r="12620" spans="25:26">
      <c r="Y12620" s="1354"/>
      <c r="Z12620" s="1060"/>
    </row>
    <row r="12621" spans="25:26">
      <c r="Y12621" s="1354"/>
      <c r="Z12621" s="1060"/>
    </row>
    <row r="12622" spans="25:26">
      <c r="Y12622" s="1354"/>
      <c r="Z12622" s="1060"/>
    </row>
    <row r="12623" spans="25:26">
      <c r="Y12623" s="1354"/>
      <c r="Z12623" s="1060"/>
    </row>
    <row r="12624" spans="25:26">
      <c r="Y12624" s="1354"/>
      <c r="Z12624" s="1060"/>
    </row>
    <row r="12625" spans="25:26">
      <c r="Y12625" s="1354"/>
      <c r="Z12625" s="1060"/>
    </row>
    <row r="12626" spans="25:26">
      <c r="Y12626" s="1354"/>
      <c r="Z12626" s="1060"/>
    </row>
    <row r="12627" spans="25:26">
      <c r="Y12627" s="1354"/>
      <c r="Z12627" s="1060"/>
    </row>
    <row r="12628" spans="25:26">
      <c r="Y12628" s="1354"/>
      <c r="Z12628" s="1060"/>
    </row>
    <row r="12629" spans="25:26">
      <c r="Y12629" s="1354"/>
      <c r="Z12629" s="1060"/>
    </row>
    <row r="12630" spans="25:26">
      <c r="Y12630" s="1354"/>
      <c r="Z12630" s="1060"/>
    </row>
    <row r="12631" spans="25:26">
      <c r="Y12631" s="1354"/>
      <c r="Z12631" s="1060"/>
    </row>
    <row r="12632" spans="25:26">
      <c r="Y12632" s="1354"/>
      <c r="Z12632" s="1060"/>
    </row>
    <row r="12633" spans="25:26">
      <c r="Y12633" s="1354"/>
      <c r="Z12633" s="1060"/>
    </row>
    <row r="12634" spans="25:26">
      <c r="Y12634" s="1354"/>
      <c r="Z12634" s="1060"/>
    </row>
    <row r="12635" spans="25:26">
      <c r="Y12635" s="1354"/>
      <c r="Z12635" s="1060"/>
    </row>
    <row r="12636" spans="25:26">
      <c r="Y12636" s="1354"/>
      <c r="Z12636" s="1060"/>
    </row>
    <row r="12637" spans="25:26">
      <c r="Y12637" s="1354"/>
      <c r="Z12637" s="1060"/>
    </row>
    <row r="12638" spans="25:26">
      <c r="Y12638" s="1354"/>
      <c r="Z12638" s="1060"/>
    </row>
    <row r="12639" spans="25:26">
      <c r="Y12639" s="1354"/>
      <c r="Z12639" s="1060"/>
    </row>
    <row r="12640" spans="25:26">
      <c r="Y12640" s="1354"/>
      <c r="Z12640" s="1060"/>
    </row>
    <row r="12641" spans="25:26">
      <c r="Y12641" s="1354"/>
      <c r="Z12641" s="1060"/>
    </row>
    <row r="12642" spans="25:26">
      <c r="Y12642" s="1354"/>
      <c r="Z12642" s="1060"/>
    </row>
    <row r="12643" spans="25:26">
      <c r="Y12643" s="1354"/>
      <c r="Z12643" s="1060"/>
    </row>
    <row r="12644" spans="25:26">
      <c r="Y12644" s="1354"/>
      <c r="Z12644" s="1060"/>
    </row>
    <row r="12645" spans="25:26">
      <c r="Y12645" s="1354"/>
      <c r="Z12645" s="1060"/>
    </row>
    <row r="12646" spans="25:26">
      <c r="Y12646" s="1354"/>
      <c r="Z12646" s="1060"/>
    </row>
    <row r="12647" spans="25:26">
      <c r="Y12647" s="1354"/>
      <c r="Z12647" s="1060"/>
    </row>
    <row r="12648" spans="25:26">
      <c r="Y12648" s="1354"/>
      <c r="Z12648" s="1060"/>
    </row>
    <row r="12649" spans="25:26">
      <c r="Y12649" s="1354"/>
      <c r="Z12649" s="1060"/>
    </row>
    <row r="12650" spans="25:26">
      <c r="Y12650" s="1354"/>
      <c r="Z12650" s="1060"/>
    </row>
    <row r="12651" spans="25:26">
      <c r="Y12651" s="1354"/>
      <c r="Z12651" s="1060"/>
    </row>
    <row r="12652" spans="25:26">
      <c r="Y12652" s="1354"/>
      <c r="Z12652" s="1060"/>
    </row>
    <row r="12653" spans="25:26">
      <c r="Y12653" s="1354"/>
      <c r="Z12653" s="1060"/>
    </row>
    <row r="12654" spans="25:26">
      <c r="Y12654" s="1354"/>
      <c r="Z12654" s="1060"/>
    </row>
    <row r="12655" spans="25:26">
      <c r="Y12655" s="1354"/>
      <c r="Z12655" s="1060"/>
    </row>
    <row r="12656" spans="25:26">
      <c r="Y12656" s="1354"/>
      <c r="Z12656" s="1060"/>
    </row>
    <row r="12657" spans="25:26">
      <c r="Y12657" s="1354"/>
      <c r="Z12657" s="1060"/>
    </row>
    <row r="12658" spans="25:26">
      <c r="Y12658" s="1354"/>
      <c r="Z12658" s="1060"/>
    </row>
    <row r="12659" spans="25:26">
      <c r="Y12659" s="1354"/>
      <c r="Z12659" s="1060"/>
    </row>
    <row r="12660" spans="25:26">
      <c r="Y12660" s="1354"/>
      <c r="Z12660" s="1060"/>
    </row>
    <row r="12661" spans="25:26">
      <c r="Y12661" s="1354"/>
      <c r="Z12661" s="1060"/>
    </row>
    <row r="12662" spans="25:26">
      <c r="Y12662" s="1354"/>
      <c r="Z12662" s="1060"/>
    </row>
    <row r="12663" spans="25:26">
      <c r="Y12663" s="1354"/>
      <c r="Z12663" s="1060"/>
    </row>
    <row r="12664" spans="25:26">
      <c r="Y12664" s="1354"/>
      <c r="Z12664" s="1060"/>
    </row>
    <row r="12665" spans="25:26">
      <c r="Y12665" s="1354"/>
      <c r="Z12665" s="1060"/>
    </row>
    <row r="12666" spans="25:26">
      <c r="Y12666" s="1354"/>
      <c r="Z12666" s="1060"/>
    </row>
    <row r="12667" spans="25:26">
      <c r="Y12667" s="1354"/>
      <c r="Z12667" s="1060"/>
    </row>
    <row r="12668" spans="25:26">
      <c r="Y12668" s="1354"/>
      <c r="Z12668" s="1060"/>
    </row>
    <row r="12669" spans="25:26">
      <c r="Y12669" s="1354"/>
      <c r="Z12669" s="1060"/>
    </row>
    <row r="12670" spans="25:26">
      <c r="Y12670" s="1354"/>
      <c r="Z12670" s="1060"/>
    </row>
    <row r="12671" spans="25:26">
      <c r="Y12671" s="1354"/>
      <c r="Z12671" s="1060"/>
    </row>
    <row r="12672" spans="25:26">
      <c r="Y12672" s="1354"/>
      <c r="Z12672" s="1060"/>
    </row>
    <row r="12673" spans="25:26">
      <c r="Y12673" s="1354"/>
      <c r="Z12673" s="1060"/>
    </row>
    <row r="12674" spans="25:26">
      <c r="Y12674" s="1354"/>
      <c r="Z12674" s="1060"/>
    </row>
    <row r="12675" spans="25:26">
      <c r="Y12675" s="1354"/>
      <c r="Z12675" s="1060"/>
    </row>
    <row r="12676" spans="25:26">
      <c r="Y12676" s="1354"/>
      <c r="Z12676" s="1060"/>
    </row>
    <row r="12677" spans="25:26">
      <c r="Y12677" s="1354"/>
      <c r="Z12677" s="1060"/>
    </row>
    <row r="12678" spans="25:26">
      <c r="Y12678" s="1354"/>
      <c r="Z12678" s="1060"/>
    </row>
    <row r="12679" spans="25:26">
      <c r="Y12679" s="1354"/>
      <c r="Z12679" s="1060"/>
    </row>
    <row r="12680" spans="25:26">
      <c r="Y12680" s="1354"/>
      <c r="Z12680" s="1060"/>
    </row>
    <row r="12681" spans="25:26">
      <c r="Y12681" s="1354"/>
      <c r="Z12681" s="1060"/>
    </row>
    <row r="12682" spans="25:26">
      <c r="Y12682" s="1354"/>
      <c r="Z12682" s="1060"/>
    </row>
    <row r="12683" spans="25:26">
      <c r="Y12683" s="1354"/>
      <c r="Z12683" s="1060"/>
    </row>
    <row r="12684" spans="25:26">
      <c r="Y12684" s="1354"/>
      <c r="Z12684" s="1060"/>
    </row>
    <row r="12685" spans="25:26">
      <c r="Y12685" s="1354"/>
      <c r="Z12685" s="1060"/>
    </row>
    <row r="12686" spans="25:26">
      <c r="Y12686" s="1354"/>
      <c r="Z12686" s="1060"/>
    </row>
    <row r="12687" spans="25:26">
      <c r="Y12687" s="1354"/>
      <c r="Z12687" s="1060"/>
    </row>
    <row r="12688" spans="25:26">
      <c r="Y12688" s="1354"/>
      <c r="Z12688" s="1060"/>
    </row>
    <row r="12689" spans="25:26">
      <c r="Y12689" s="1354"/>
      <c r="Z12689" s="1060"/>
    </row>
    <row r="12690" spans="25:26">
      <c r="Y12690" s="1354"/>
      <c r="Z12690" s="1060"/>
    </row>
    <row r="12691" spans="25:26">
      <c r="Y12691" s="1354"/>
      <c r="Z12691" s="1060"/>
    </row>
    <row r="12692" spans="25:26">
      <c r="Y12692" s="1354"/>
      <c r="Z12692" s="1060"/>
    </row>
    <row r="12693" spans="25:26">
      <c r="Y12693" s="1354"/>
      <c r="Z12693" s="1060"/>
    </row>
    <row r="12694" spans="25:26">
      <c r="Y12694" s="1354"/>
      <c r="Z12694" s="1060"/>
    </row>
    <row r="12695" spans="25:26">
      <c r="Y12695" s="1354"/>
      <c r="Z12695" s="1060"/>
    </row>
    <row r="12696" spans="25:26">
      <c r="Y12696" s="1354"/>
      <c r="Z12696" s="1060"/>
    </row>
    <row r="12697" spans="25:26">
      <c r="Y12697" s="1354"/>
      <c r="Z12697" s="1060"/>
    </row>
    <row r="12698" spans="25:26">
      <c r="Y12698" s="1354"/>
      <c r="Z12698" s="1060"/>
    </row>
    <row r="12699" spans="25:26">
      <c r="Y12699" s="1354"/>
      <c r="Z12699" s="1060"/>
    </row>
    <row r="12700" spans="25:26">
      <c r="Y12700" s="1354"/>
      <c r="Z12700" s="1060"/>
    </row>
    <row r="12701" spans="25:26">
      <c r="Y12701" s="1354"/>
      <c r="Z12701" s="1060"/>
    </row>
    <row r="12702" spans="25:26">
      <c r="Y12702" s="1354"/>
      <c r="Z12702" s="1060"/>
    </row>
    <row r="12703" spans="25:26">
      <c r="Y12703" s="1354"/>
      <c r="Z12703" s="1060"/>
    </row>
    <row r="12704" spans="25:26">
      <c r="Y12704" s="1354"/>
      <c r="Z12704" s="1060"/>
    </row>
    <row r="12705" spans="25:26">
      <c r="Y12705" s="1354"/>
      <c r="Z12705" s="1060"/>
    </row>
    <row r="12706" spans="25:26">
      <c r="Y12706" s="1354"/>
      <c r="Z12706" s="1060"/>
    </row>
    <row r="12707" spans="25:26">
      <c r="Y12707" s="1354"/>
      <c r="Z12707" s="1060"/>
    </row>
    <row r="12708" spans="25:26">
      <c r="Y12708" s="1354"/>
      <c r="Z12708" s="1060"/>
    </row>
    <row r="12709" spans="25:26">
      <c r="Y12709" s="1354"/>
      <c r="Z12709" s="1060"/>
    </row>
    <row r="12710" spans="25:26">
      <c r="Y12710" s="1354"/>
      <c r="Z12710" s="1060"/>
    </row>
    <row r="12711" spans="25:26">
      <c r="Y12711" s="1354"/>
      <c r="Z12711" s="1060"/>
    </row>
    <row r="12712" spans="25:26">
      <c r="Y12712" s="1354"/>
      <c r="Z12712" s="1060"/>
    </row>
    <row r="12713" spans="25:26">
      <c r="Y12713" s="1354"/>
      <c r="Z12713" s="1060"/>
    </row>
    <row r="12714" spans="25:26">
      <c r="Y12714" s="1354"/>
      <c r="Z12714" s="1060"/>
    </row>
    <row r="12715" spans="25:26">
      <c r="Y12715" s="1354"/>
      <c r="Z12715" s="1060"/>
    </row>
    <row r="12716" spans="25:26">
      <c r="Y12716" s="1354"/>
      <c r="Z12716" s="1060"/>
    </row>
    <row r="12717" spans="25:26">
      <c r="Y12717" s="1354"/>
      <c r="Z12717" s="1060"/>
    </row>
    <row r="12718" spans="25:26">
      <c r="Y12718" s="1354"/>
      <c r="Z12718" s="1060"/>
    </row>
    <row r="12719" spans="25:26">
      <c r="Y12719" s="1354"/>
      <c r="Z12719" s="1060"/>
    </row>
    <row r="12720" spans="25:26">
      <c r="Y12720" s="1354"/>
      <c r="Z12720" s="1060"/>
    </row>
    <row r="12721" spans="25:26">
      <c r="Y12721" s="1354"/>
      <c r="Z12721" s="1060"/>
    </row>
    <row r="12722" spans="25:26">
      <c r="Y12722" s="1354"/>
      <c r="Z12722" s="1060"/>
    </row>
    <row r="12723" spans="25:26">
      <c r="Y12723" s="1354"/>
      <c r="Z12723" s="1060"/>
    </row>
    <row r="12724" spans="25:26">
      <c r="Y12724" s="1354"/>
      <c r="Z12724" s="1060"/>
    </row>
    <row r="12725" spans="25:26">
      <c r="Y12725" s="1354"/>
      <c r="Z12725" s="1060"/>
    </row>
    <row r="12726" spans="25:26">
      <c r="Y12726" s="1354"/>
      <c r="Z12726" s="1060"/>
    </row>
    <row r="12727" spans="25:26">
      <c r="Y12727" s="1354"/>
      <c r="Z12727" s="1060"/>
    </row>
    <row r="12728" spans="25:26">
      <c r="Y12728" s="1354"/>
      <c r="Z12728" s="1060"/>
    </row>
    <row r="12729" spans="25:26">
      <c r="Y12729" s="1354"/>
      <c r="Z12729" s="1060"/>
    </row>
    <row r="12730" spans="25:26">
      <c r="Y12730" s="1354"/>
      <c r="Z12730" s="1060"/>
    </row>
    <row r="12731" spans="25:26">
      <c r="Y12731" s="1354"/>
      <c r="Z12731" s="1060"/>
    </row>
    <row r="12732" spans="25:26">
      <c r="Y12732" s="1354"/>
      <c r="Z12732" s="1060"/>
    </row>
    <row r="12733" spans="25:26">
      <c r="Y12733" s="1354"/>
      <c r="Z12733" s="1060"/>
    </row>
    <row r="12734" spans="25:26">
      <c r="Y12734" s="1354"/>
      <c r="Z12734" s="1060"/>
    </row>
    <row r="12735" spans="25:26">
      <c r="Y12735" s="1354"/>
      <c r="Z12735" s="1060"/>
    </row>
    <row r="12736" spans="25:26">
      <c r="Y12736" s="1354"/>
      <c r="Z12736" s="1060"/>
    </row>
    <row r="12737" spans="25:26">
      <c r="Y12737" s="1354"/>
      <c r="Z12737" s="1060"/>
    </row>
    <row r="12738" spans="25:26">
      <c r="Y12738" s="1354"/>
      <c r="Z12738" s="1060"/>
    </row>
    <row r="12739" spans="25:26">
      <c r="Y12739" s="1354"/>
      <c r="Z12739" s="1060"/>
    </row>
    <row r="12740" spans="25:26">
      <c r="Y12740" s="1354"/>
      <c r="Z12740" s="1060"/>
    </row>
    <row r="12741" spans="25:26">
      <c r="Y12741" s="1354"/>
      <c r="Z12741" s="1060"/>
    </row>
    <row r="12742" spans="25:26">
      <c r="Y12742" s="1354"/>
      <c r="Z12742" s="1060"/>
    </row>
    <row r="12743" spans="25:26">
      <c r="Y12743" s="1354"/>
      <c r="Z12743" s="1060"/>
    </row>
    <row r="12744" spans="25:26">
      <c r="Y12744" s="1354"/>
      <c r="Z12744" s="1060"/>
    </row>
    <row r="12745" spans="25:26">
      <c r="Y12745" s="1354"/>
      <c r="Z12745" s="1060"/>
    </row>
    <row r="12746" spans="25:26">
      <c r="Y12746" s="1354"/>
      <c r="Z12746" s="1060"/>
    </row>
    <row r="12747" spans="25:26">
      <c r="Y12747" s="1354"/>
      <c r="Z12747" s="1060"/>
    </row>
    <row r="12748" spans="25:26">
      <c r="Y12748" s="1354"/>
      <c r="Z12748" s="1060"/>
    </row>
    <row r="12749" spans="25:26">
      <c r="Y12749" s="1354"/>
      <c r="Z12749" s="1060"/>
    </row>
    <row r="12750" spans="25:26">
      <c r="Y12750" s="1354"/>
      <c r="Z12750" s="1060"/>
    </row>
    <row r="12751" spans="25:26">
      <c r="Y12751" s="1354"/>
      <c r="Z12751" s="1060"/>
    </row>
    <row r="12752" spans="25:26">
      <c r="Y12752" s="1354"/>
      <c r="Z12752" s="1060"/>
    </row>
    <row r="12753" spans="25:26">
      <c r="Y12753" s="1354"/>
      <c r="Z12753" s="1060"/>
    </row>
    <row r="12754" spans="25:26">
      <c r="Y12754" s="1354"/>
      <c r="Z12754" s="1060"/>
    </row>
    <row r="12755" spans="25:26">
      <c r="Y12755" s="1354"/>
      <c r="Z12755" s="1060"/>
    </row>
    <row r="12756" spans="25:26">
      <c r="Y12756" s="1354"/>
      <c r="Z12756" s="1060"/>
    </row>
    <row r="12757" spans="25:26">
      <c r="Y12757" s="1354"/>
      <c r="Z12757" s="1060"/>
    </row>
    <row r="12758" spans="25:26">
      <c r="Y12758" s="1354"/>
      <c r="Z12758" s="1060"/>
    </row>
    <row r="12759" spans="25:26">
      <c r="Y12759" s="1354"/>
      <c r="Z12759" s="1060"/>
    </row>
    <row r="12760" spans="25:26">
      <c r="Y12760" s="1354"/>
      <c r="Z12760" s="1060"/>
    </row>
    <row r="12761" spans="25:26">
      <c r="Y12761" s="1354"/>
      <c r="Z12761" s="1060"/>
    </row>
    <row r="12762" spans="25:26">
      <c r="Y12762" s="1354"/>
      <c r="Z12762" s="1060"/>
    </row>
    <row r="12763" spans="25:26">
      <c r="Y12763" s="1354"/>
      <c r="Z12763" s="1060"/>
    </row>
    <row r="12764" spans="25:26">
      <c r="Y12764" s="1354"/>
      <c r="Z12764" s="1060"/>
    </row>
    <row r="12765" spans="25:26">
      <c r="Y12765" s="1354"/>
      <c r="Z12765" s="1060"/>
    </row>
    <row r="12766" spans="25:26">
      <c r="Y12766" s="1354"/>
      <c r="Z12766" s="1060"/>
    </row>
    <row r="12767" spans="25:26">
      <c r="Y12767" s="1354"/>
      <c r="Z12767" s="1060"/>
    </row>
    <row r="12768" spans="25:26">
      <c r="Y12768" s="1354"/>
      <c r="Z12768" s="1060"/>
    </row>
    <row r="12769" spans="25:26">
      <c r="Y12769" s="1354"/>
      <c r="Z12769" s="1060"/>
    </row>
    <row r="12770" spans="25:26">
      <c r="Y12770" s="1354"/>
      <c r="Z12770" s="1060"/>
    </row>
    <row r="12771" spans="25:26">
      <c r="Y12771" s="1354"/>
      <c r="Z12771" s="1060"/>
    </row>
    <row r="12772" spans="25:26">
      <c r="Y12772" s="1354"/>
      <c r="Z12772" s="1060"/>
    </row>
    <row r="12773" spans="25:26">
      <c r="Y12773" s="1354"/>
      <c r="Z12773" s="1060"/>
    </row>
    <row r="12774" spans="25:26">
      <c r="Y12774" s="1354"/>
      <c r="Z12774" s="1060"/>
    </row>
    <row r="12775" spans="25:26">
      <c r="Y12775" s="1354"/>
      <c r="Z12775" s="1060"/>
    </row>
    <row r="12776" spans="25:26">
      <c r="Y12776" s="1354"/>
      <c r="Z12776" s="1060"/>
    </row>
    <row r="12777" spans="25:26">
      <c r="Y12777" s="1354"/>
      <c r="Z12777" s="1060"/>
    </row>
    <row r="12778" spans="25:26">
      <c r="Y12778" s="1354"/>
      <c r="Z12778" s="1060"/>
    </row>
    <row r="12779" spans="25:26">
      <c r="Y12779" s="1354"/>
      <c r="Z12779" s="1060"/>
    </row>
    <row r="12780" spans="25:26">
      <c r="Y12780" s="1354"/>
      <c r="Z12780" s="1060"/>
    </row>
    <row r="12781" spans="25:26">
      <c r="Y12781" s="1354"/>
      <c r="Z12781" s="1060"/>
    </row>
    <row r="12782" spans="25:26">
      <c r="Y12782" s="1354"/>
      <c r="Z12782" s="1060"/>
    </row>
    <row r="12783" spans="25:26">
      <c r="Y12783" s="1354"/>
      <c r="Z12783" s="1060"/>
    </row>
    <row r="12784" spans="25:26">
      <c r="Y12784" s="1354"/>
      <c r="Z12784" s="1060"/>
    </row>
    <row r="12785" spans="25:26">
      <c r="Y12785" s="1354"/>
      <c r="Z12785" s="1060"/>
    </row>
    <row r="12786" spans="25:26">
      <c r="Y12786" s="1354"/>
      <c r="Z12786" s="1060"/>
    </row>
    <row r="12787" spans="25:26">
      <c r="Y12787" s="1354"/>
      <c r="Z12787" s="1060"/>
    </row>
    <row r="12788" spans="25:26">
      <c r="Y12788" s="1354"/>
      <c r="Z12788" s="1060"/>
    </row>
    <row r="12789" spans="25:26">
      <c r="Y12789" s="1354"/>
      <c r="Z12789" s="1060"/>
    </row>
    <row r="12790" spans="25:26">
      <c r="Y12790" s="1354"/>
      <c r="Z12790" s="1060"/>
    </row>
    <row r="12791" spans="25:26">
      <c r="Y12791" s="1354"/>
      <c r="Z12791" s="1060"/>
    </row>
    <row r="12792" spans="25:26">
      <c r="Y12792" s="1354"/>
      <c r="Z12792" s="1060"/>
    </row>
    <row r="12793" spans="25:26">
      <c r="Y12793" s="1354"/>
      <c r="Z12793" s="1060"/>
    </row>
    <row r="12794" spans="25:26">
      <c r="Y12794" s="1354"/>
      <c r="Z12794" s="1060"/>
    </row>
    <row r="12795" spans="25:26">
      <c r="Y12795" s="1354"/>
      <c r="Z12795" s="1060"/>
    </row>
    <row r="12796" spans="25:26">
      <c r="Y12796" s="1354"/>
      <c r="Z12796" s="1060"/>
    </row>
    <row r="12797" spans="25:26">
      <c r="Y12797" s="1354"/>
      <c r="Z12797" s="1060"/>
    </row>
    <row r="12798" spans="25:26">
      <c r="Y12798" s="1354"/>
      <c r="Z12798" s="1060"/>
    </row>
    <row r="12799" spans="25:26">
      <c r="Y12799" s="1354"/>
      <c r="Z12799" s="1060"/>
    </row>
    <row r="12800" spans="25:26">
      <c r="Y12800" s="1354"/>
      <c r="Z12800" s="1060"/>
    </row>
    <row r="12801" spans="25:26">
      <c r="Y12801" s="1354"/>
      <c r="Z12801" s="1060"/>
    </row>
    <row r="12802" spans="25:26">
      <c r="Y12802" s="1354"/>
      <c r="Z12802" s="1060"/>
    </row>
    <row r="12803" spans="25:26">
      <c r="Y12803" s="1354"/>
      <c r="Z12803" s="1060"/>
    </row>
    <row r="12804" spans="25:26">
      <c r="Y12804" s="1354"/>
      <c r="Z12804" s="1060"/>
    </row>
    <row r="12805" spans="25:26">
      <c r="Y12805" s="1354"/>
      <c r="Z12805" s="1060"/>
    </row>
    <row r="12806" spans="25:26">
      <c r="Y12806" s="1354"/>
      <c r="Z12806" s="1060"/>
    </row>
    <row r="12807" spans="25:26">
      <c r="Y12807" s="1354"/>
      <c r="Z12807" s="1060"/>
    </row>
    <row r="12808" spans="25:26">
      <c r="Y12808" s="1354"/>
      <c r="Z12808" s="1060"/>
    </row>
    <row r="12809" spans="25:26">
      <c r="Y12809" s="1354"/>
      <c r="Z12809" s="1060"/>
    </row>
    <row r="12810" spans="25:26">
      <c r="Y12810" s="1354"/>
      <c r="Z12810" s="1060"/>
    </row>
    <row r="12811" spans="25:26">
      <c r="Y12811" s="1354"/>
      <c r="Z12811" s="1060"/>
    </row>
    <row r="12812" spans="25:26">
      <c r="Y12812" s="1354"/>
      <c r="Z12812" s="1060"/>
    </row>
    <row r="12813" spans="25:26">
      <c r="Y12813" s="1354"/>
      <c r="Z12813" s="1060"/>
    </row>
    <row r="12814" spans="25:26">
      <c r="Y12814" s="1354"/>
      <c r="Z12814" s="1060"/>
    </row>
    <row r="12815" spans="25:26">
      <c r="Y12815" s="1354"/>
      <c r="Z12815" s="1060"/>
    </row>
    <row r="12816" spans="25:26">
      <c r="Y12816" s="1354"/>
      <c r="Z12816" s="1060"/>
    </row>
    <row r="12817" spans="25:26">
      <c r="Y12817" s="1354"/>
      <c r="Z12817" s="1060"/>
    </row>
    <row r="12818" spans="25:26">
      <c r="Y12818" s="1354"/>
      <c r="Z12818" s="1060"/>
    </row>
    <row r="12819" spans="25:26">
      <c r="Y12819" s="1354"/>
      <c r="Z12819" s="1060"/>
    </row>
    <row r="12820" spans="25:26">
      <c r="Y12820" s="1354"/>
      <c r="Z12820" s="1060"/>
    </row>
    <row r="12821" spans="25:26">
      <c r="Y12821" s="1354"/>
      <c r="Z12821" s="1060"/>
    </row>
    <row r="12822" spans="25:26">
      <c r="Y12822" s="1354"/>
      <c r="Z12822" s="1060"/>
    </row>
    <row r="12823" spans="25:26">
      <c r="Y12823" s="1354"/>
      <c r="Z12823" s="1060"/>
    </row>
    <row r="12824" spans="25:26">
      <c r="Y12824" s="1354"/>
      <c r="Z12824" s="1060"/>
    </row>
    <row r="12825" spans="25:26">
      <c r="Y12825" s="1354"/>
      <c r="Z12825" s="1060"/>
    </row>
    <row r="12826" spans="25:26">
      <c r="Y12826" s="1354"/>
      <c r="Z12826" s="1060"/>
    </row>
    <row r="12827" spans="25:26">
      <c r="Y12827" s="1354"/>
      <c r="Z12827" s="1060"/>
    </row>
    <row r="12828" spans="25:26">
      <c r="Y12828" s="1354"/>
      <c r="Z12828" s="1060"/>
    </row>
    <row r="12829" spans="25:26">
      <c r="Y12829" s="1354"/>
      <c r="Z12829" s="1060"/>
    </row>
    <row r="12830" spans="25:26">
      <c r="Y12830" s="1354"/>
      <c r="Z12830" s="1060"/>
    </row>
    <row r="12831" spans="25:26">
      <c r="Y12831" s="1354"/>
      <c r="Z12831" s="1060"/>
    </row>
    <row r="12832" spans="25:26">
      <c r="Y12832" s="1354"/>
      <c r="Z12832" s="1060"/>
    </row>
    <row r="12833" spans="25:26">
      <c r="Y12833" s="1354"/>
      <c r="Z12833" s="1060"/>
    </row>
    <row r="12834" spans="25:26">
      <c r="Y12834" s="1354"/>
      <c r="Z12834" s="1060"/>
    </row>
    <row r="12835" spans="25:26">
      <c r="Y12835" s="1354"/>
      <c r="Z12835" s="1060"/>
    </row>
    <row r="12836" spans="25:26">
      <c r="Y12836" s="1354"/>
      <c r="Z12836" s="1060"/>
    </row>
    <row r="12837" spans="25:26">
      <c r="Y12837" s="1354"/>
      <c r="Z12837" s="1060"/>
    </row>
    <row r="12838" spans="25:26">
      <c r="Y12838" s="1354"/>
      <c r="Z12838" s="1060"/>
    </row>
    <row r="12839" spans="25:26">
      <c r="Y12839" s="1354"/>
      <c r="Z12839" s="1060"/>
    </row>
    <row r="12840" spans="25:26">
      <c r="Y12840" s="1354"/>
      <c r="Z12840" s="1060"/>
    </row>
    <row r="12841" spans="25:26">
      <c r="Y12841" s="1354"/>
      <c r="Z12841" s="1060"/>
    </row>
    <row r="12842" spans="25:26">
      <c r="Y12842" s="1354"/>
      <c r="Z12842" s="1060"/>
    </row>
    <row r="12843" spans="25:26">
      <c r="Y12843" s="1354"/>
      <c r="Z12843" s="1060"/>
    </row>
    <row r="12844" spans="25:26">
      <c r="Y12844" s="1354"/>
      <c r="Z12844" s="1060"/>
    </row>
    <row r="12845" spans="25:26">
      <c r="Y12845" s="1354"/>
      <c r="Z12845" s="1060"/>
    </row>
    <row r="12846" spans="25:26">
      <c r="Y12846" s="1354"/>
      <c r="Z12846" s="1060"/>
    </row>
    <row r="12847" spans="25:26">
      <c r="Y12847" s="1354"/>
      <c r="Z12847" s="1060"/>
    </row>
    <row r="12848" spans="25:26">
      <c r="Y12848" s="1354"/>
      <c r="Z12848" s="1060"/>
    </row>
    <row r="12849" spans="25:26">
      <c r="Y12849" s="1354"/>
      <c r="Z12849" s="1060"/>
    </row>
    <row r="12850" spans="25:26">
      <c r="Y12850" s="1354"/>
      <c r="Z12850" s="1060"/>
    </row>
    <row r="12851" spans="25:26">
      <c r="Y12851" s="1354"/>
      <c r="Z12851" s="1060"/>
    </row>
    <row r="12852" spans="25:26">
      <c r="Y12852" s="1354"/>
      <c r="Z12852" s="1060"/>
    </row>
    <row r="12853" spans="25:26">
      <c r="Y12853" s="1354"/>
      <c r="Z12853" s="1060"/>
    </row>
    <row r="12854" spans="25:26">
      <c r="Y12854" s="1354"/>
      <c r="Z12854" s="1060"/>
    </row>
    <row r="12855" spans="25:26">
      <c r="Y12855" s="1354"/>
      <c r="Z12855" s="1060"/>
    </row>
    <row r="12856" spans="25:26">
      <c r="Y12856" s="1354"/>
      <c r="Z12856" s="1060"/>
    </row>
    <row r="12857" spans="25:26">
      <c r="Y12857" s="1354"/>
      <c r="Z12857" s="1060"/>
    </row>
    <row r="12858" spans="25:26">
      <c r="Y12858" s="1354"/>
      <c r="Z12858" s="1060"/>
    </row>
    <row r="12859" spans="25:26">
      <c r="Y12859" s="1354"/>
      <c r="Z12859" s="1060"/>
    </row>
    <row r="12860" spans="25:26">
      <c r="Y12860" s="1354"/>
      <c r="Z12860" s="1060"/>
    </row>
    <row r="12861" spans="25:26">
      <c r="Y12861" s="1354"/>
      <c r="Z12861" s="1060"/>
    </row>
    <row r="12862" spans="25:26">
      <c r="Y12862" s="1354"/>
      <c r="Z12862" s="1060"/>
    </row>
    <row r="12863" spans="25:26">
      <c r="Y12863" s="1354"/>
      <c r="Z12863" s="1060"/>
    </row>
    <row r="12864" spans="25:26">
      <c r="Y12864" s="1354"/>
      <c r="Z12864" s="1060"/>
    </row>
    <row r="12865" spans="25:26">
      <c r="Y12865" s="1354"/>
      <c r="Z12865" s="1060"/>
    </row>
    <row r="12866" spans="25:26">
      <c r="Y12866" s="1354"/>
      <c r="Z12866" s="1060"/>
    </row>
    <row r="12867" spans="25:26">
      <c r="Y12867" s="1354"/>
      <c r="Z12867" s="1060"/>
    </row>
    <row r="12868" spans="25:26">
      <c r="Y12868" s="1354"/>
      <c r="Z12868" s="1060"/>
    </row>
    <row r="12869" spans="25:26">
      <c r="Y12869" s="1354"/>
      <c r="Z12869" s="1060"/>
    </row>
    <row r="12870" spans="25:26">
      <c r="Y12870" s="1354"/>
      <c r="Z12870" s="1060"/>
    </row>
    <row r="12871" spans="25:26">
      <c r="Y12871" s="1354"/>
      <c r="Z12871" s="1060"/>
    </row>
    <row r="12872" spans="25:26">
      <c r="Y12872" s="1354"/>
      <c r="Z12872" s="1060"/>
    </row>
    <row r="12873" spans="25:26">
      <c r="Y12873" s="1354"/>
      <c r="Z12873" s="1060"/>
    </row>
    <row r="12874" spans="25:26">
      <c r="Y12874" s="1354"/>
      <c r="Z12874" s="1060"/>
    </row>
    <row r="12875" spans="25:26">
      <c r="Y12875" s="1354"/>
      <c r="Z12875" s="1060"/>
    </row>
    <row r="12876" spans="25:26">
      <c r="Y12876" s="1354"/>
      <c r="Z12876" s="1060"/>
    </row>
    <row r="12877" spans="25:26">
      <c r="Y12877" s="1354"/>
      <c r="Z12877" s="1060"/>
    </row>
    <row r="12878" spans="25:26">
      <c r="Y12878" s="1354"/>
      <c r="Z12878" s="1060"/>
    </row>
    <row r="12879" spans="25:26">
      <c r="Y12879" s="1354"/>
      <c r="Z12879" s="1060"/>
    </row>
    <row r="12880" spans="25:26">
      <c r="Y12880" s="1354"/>
      <c r="Z12880" s="1060"/>
    </row>
    <row r="12881" spans="25:26">
      <c r="Y12881" s="1354"/>
      <c r="Z12881" s="1060"/>
    </row>
    <row r="12882" spans="25:26">
      <c r="Y12882" s="1354"/>
      <c r="Z12882" s="1060"/>
    </row>
    <row r="12883" spans="25:26">
      <c r="Y12883" s="1354"/>
      <c r="Z12883" s="1060"/>
    </row>
    <row r="12884" spans="25:26">
      <c r="Y12884" s="1354"/>
      <c r="Z12884" s="1060"/>
    </row>
    <row r="12885" spans="25:26">
      <c r="Y12885" s="1354"/>
      <c r="Z12885" s="1060"/>
    </row>
    <row r="12886" spans="25:26">
      <c r="Y12886" s="1354"/>
      <c r="Z12886" s="1060"/>
    </row>
    <row r="12887" spans="25:26">
      <c r="Y12887" s="1354"/>
      <c r="Z12887" s="1060"/>
    </row>
    <row r="12888" spans="25:26">
      <c r="Y12888" s="1354"/>
      <c r="Z12888" s="1060"/>
    </row>
    <row r="12889" spans="25:26">
      <c r="Y12889" s="1354"/>
      <c r="Z12889" s="1060"/>
    </row>
    <row r="12890" spans="25:26">
      <c r="Y12890" s="1354"/>
      <c r="Z12890" s="1060"/>
    </row>
    <row r="12891" spans="25:26">
      <c r="Y12891" s="1354"/>
      <c r="Z12891" s="1060"/>
    </row>
    <row r="12892" spans="25:26">
      <c r="Y12892" s="1354"/>
      <c r="Z12892" s="1060"/>
    </row>
    <row r="12893" spans="25:26">
      <c r="Y12893" s="1354"/>
      <c r="Z12893" s="1060"/>
    </row>
    <row r="12894" spans="25:26">
      <c r="Y12894" s="1354"/>
      <c r="Z12894" s="1060"/>
    </row>
    <row r="12895" spans="25:26">
      <c r="Y12895" s="1354"/>
      <c r="Z12895" s="1060"/>
    </row>
    <row r="12896" spans="25:26">
      <c r="Y12896" s="1354"/>
      <c r="Z12896" s="1060"/>
    </row>
    <row r="12897" spans="25:26">
      <c r="Y12897" s="1354"/>
      <c r="Z12897" s="1060"/>
    </row>
    <row r="12898" spans="25:26">
      <c r="Y12898" s="1354"/>
      <c r="Z12898" s="1060"/>
    </row>
    <row r="12899" spans="25:26">
      <c r="Y12899" s="1354"/>
      <c r="Z12899" s="1060"/>
    </row>
    <row r="12900" spans="25:26">
      <c r="Y12900" s="1354"/>
      <c r="Z12900" s="1060"/>
    </row>
    <row r="12901" spans="25:26">
      <c r="Y12901" s="1354"/>
      <c r="Z12901" s="1060"/>
    </row>
    <row r="12902" spans="25:26">
      <c r="Y12902" s="1354"/>
      <c r="Z12902" s="1060"/>
    </row>
    <row r="12903" spans="25:26">
      <c r="Y12903" s="1354"/>
      <c r="Z12903" s="1060"/>
    </row>
    <row r="12904" spans="25:26">
      <c r="Y12904" s="1354"/>
      <c r="Z12904" s="1060"/>
    </row>
    <row r="12905" spans="25:26">
      <c r="Y12905" s="1354"/>
      <c r="Z12905" s="1060"/>
    </row>
    <row r="12906" spans="25:26">
      <c r="Y12906" s="1354"/>
      <c r="Z12906" s="1060"/>
    </row>
    <row r="12907" spans="25:26">
      <c r="Y12907" s="1354"/>
      <c r="Z12907" s="1060"/>
    </row>
    <row r="12908" spans="25:26">
      <c r="Y12908" s="1354"/>
      <c r="Z12908" s="1060"/>
    </row>
    <row r="12909" spans="25:26">
      <c r="Y12909" s="1354"/>
      <c r="Z12909" s="1060"/>
    </row>
    <row r="12910" spans="25:26">
      <c r="Y12910" s="1354"/>
      <c r="Z12910" s="1060"/>
    </row>
    <row r="12911" spans="25:26">
      <c r="Y12911" s="1354"/>
      <c r="Z12911" s="1060"/>
    </row>
    <row r="12912" spans="25:26">
      <c r="Y12912" s="1354"/>
      <c r="Z12912" s="1060"/>
    </row>
    <row r="12913" spans="25:26">
      <c r="Y12913" s="1354"/>
      <c r="Z12913" s="1060"/>
    </row>
    <row r="12914" spans="25:26">
      <c r="Y12914" s="1354"/>
      <c r="Z12914" s="1060"/>
    </row>
    <row r="12915" spans="25:26">
      <c r="Y12915" s="1354"/>
      <c r="Z12915" s="1060"/>
    </row>
    <row r="12916" spans="25:26">
      <c r="Y12916" s="1354"/>
      <c r="Z12916" s="1060"/>
    </row>
    <row r="12917" spans="25:26">
      <c r="Y12917" s="1354"/>
      <c r="Z12917" s="1060"/>
    </row>
    <row r="12918" spans="25:26">
      <c r="Y12918" s="1354"/>
      <c r="Z12918" s="1060"/>
    </row>
    <row r="12919" spans="25:26">
      <c r="Y12919" s="1354"/>
      <c r="Z12919" s="1060"/>
    </row>
    <row r="12920" spans="25:26">
      <c r="Y12920" s="1354"/>
      <c r="Z12920" s="1060"/>
    </row>
    <row r="12921" spans="25:26">
      <c r="Y12921" s="1354"/>
      <c r="Z12921" s="1060"/>
    </row>
    <row r="12922" spans="25:26">
      <c r="Y12922" s="1354"/>
      <c r="Z12922" s="1060"/>
    </row>
    <row r="12923" spans="25:26">
      <c r="Y12923" s="1354"/>
      <c r="Z12923" s="1060"/>
    </row>
    <row r="12924" spans="25:26">
      <c r="Y12924" s="1354"/>
      <c r="Z12924" s="1060"/>
    </row>
    <row r="12925" spans="25:26">
      <c r="Y12925" s="1354"/>
      <c r="Z12925" s="1060"/>
    </row>
    <row r="12926" spans="25:26">
      <c r="Y12926" s="1354"/>
      <c r="Z12926" s="1060"/>
    </row>
    <row r="12927" spans="25:26">
      <c r="Y12927" s="1354"/>
      <c r="Z12927" s="1060"/>
    </row>
    <row r="12928" spans="25:26">
      <c r="Y12928" s="1354"/>
      <c r="Z12928" s="1060"/>
    </row>
    <row r="12929" spans="25:26">
      <c r="Y12929" s="1354"/>
      <c r="Z12929" s="1060"/>
    </row>
    <row r="12930" spans="25:26">
      <c r="Y12930" s="1354"/>
      <c r="Z12930" s="1060"/>
    </row>
    <row r="12931" spans="25:26">
      <c r="Y12931" s="1354"/>
      <c r="Z12931" s="1060"/>
    </row>
    <row r="12932" spans="25:26">
      <c r="Y12932" s="1354"/>
      <c r="Z12932" s="1060"/>
    </row>
    <row r="12933" spans="25:26">
      <c r="Y12933" s="1354"/>
      <c r="Z12933" s="1060"/>
    </row>
    <row r="12934" spans="25:26">
      <c r="Y12934" s="1354"/>
      <c r="Z12934" s="1060"/>
    </row>
    <row r="12935" spans="25:26">
      <c r="Y12935" s="1354"/>
      <c r="Z12935" s="1060"/>
    </row>
    <row r="12936" spans="25:26">
      <c r="Y12936" s="1354"/>
      <c r="Z12936" s="1060"/>
    </row>
    <row r="12937" spans="25:26">
      <c r="Y12937" s="1354"/>
      <c r="Z12937" s="1060"/>
    </row>
    <row r="12938" spans="25:26">
      <c r="Y12938" s="1354"/>
      <c r="Z12938" s="1060"/>
    </row>
    <row r="12939" spans="25:26">
      <c r="Y12939" s="1354"/>
      <c r="Z12939" s="1060"/>
    </row>
    <row r="12940" spans="25:26">
      <c r="Y12940" s="1354"/>
      <c r="Z12940" s="1060"/>
    </row>
    <row r="12941" spans="25:26">
      <c r="Y12941" s="1354"/>
      <c r="Z12941" s="1060"/>
    </row>
    <row r="12942" spans="25:26">
      <c r="Y12942" s="1354"/>
      <c r="Z12942" s="1060"/>
    </row>
    <row r="12943" spans="25:26">
      <c r="Y12943" s="1354"/>
      <c r="Z12943" s="1060"/>
    </row>
    <row r="12944" spans="25:26">
      <c r="Y12944" s="1354"/>
      <c r="Z12944" s="1060"/>
    </row>
    <row r="12945" spans="25:26">
      <c r="Y12945" s="1354"/>
      <c r="Z12945" s="1060"/>
    </row>
    <row r="12946" spans="25:26">
      <c r="Y12946" s="1354"/>
      <c r="Z12946" s="1060"/>
    </row>
    <row r="12947" spans="25:26">
      <c r="Y12947" s="1354"/>
      <c r="Z12947" s="1060"/>
    </row>
    <row r="12948" spans="25:26">
      <c r="Y12948" s="1354"/>
      <c r="Z12948" s="1060"/>
    </row>
    <row r="12949" spans="25:26">
      <c r="Y12949" s="1354"/>
      <c r="Z12949" s="1060"/>
    </row>
    <row r="12950" spans="25:26">
      <c r="Y12950" s="1354"/>
      <c r="Z12950" s="1060"/>
    </row>
    <row r="12951" spans="25:26">
      <c r="Y12951" s="1354"/>
      <c r="Z12951" s="1060"/>
    </row>
    <row r="12952" spans="25:26">
      <c r="Y12952" s="1354"/>
      <c r="Z12952" s="1060"/>
    </row>
    <row r="12953" spans="25:26">
      <c r="Y12953" s="1354"/>
      <c r="Z12953" s="1060"/>
    </row>
    <row r="12954" spans="25:26">
      <c r="Y12954" s="1354"/>
      <c r="Z12954" s="1060"/>
    </row>
    <row r="12955" spans="25:26">
      <c r="Y12955" s="1354"/>
      <c r="Z12955" s="1060"/>
    </row>
    <row r="12956" spans="25:26">
      <c r="Y12956" s="1354"/>
      <c r="Z12956" s="1060"/>
    </row>
    <row r="12957" spans="25:26">
      <c r="Y12957" s="1354"/>
      <c r="Z12957" s="1060"/>
    </row>
    <row r="12958" spans="25:26">
      <c r="Y12958" s="1354"/>
      <c r="Z12958" s="1060"/>
    </row>
    <row r="12959" spans="25:26">
      <c r="Y12959" s="1354"/>
      <c r="Z12959" s="1060"/>
    </row>
    <row r="12960" spans="25:26">
      <c r="Y12960" s="1354"/>
      <c r="Z12960" s="1060"/>
    </row>
    <row r="12961" spans="25:26">
      <c r="Y12961" s="1354"/>
      <c r="Z12961" s="1060"/>
    </row>
    <row r="12962" spans="25:26">
      <c r="Y12962" s="1354"/>
      <c r="Z12962" s="1060"/>
    </row>
    <row r="12963" spans="25:26">
      <c r="Y12963" s="1354"/>
      <c r="Z12963" s="1060"/>
    </row>
    <row r="12964" spans="25:26">
      <c r="Y12964" s="1354"/>
      <c r="Z12964" s="1060"/>
    </row>
    <row r="12965" spans="25:26">
      <c r="Y12965" s="1354"/>
      <c r="Z12965" s="1060"/>
    </row>
    <row r="12966" spans="25:26">
      <c r="Y12966" s="1354"/>
      <c r="Z12966" s="1060"/>
    </row>
    <row r="12967" spans="25:26">
      <c r="Y12967" s="1354"/>
      <c r="Z12967" s="1060"/>
    </row>
    <row r="12968" spans="25:26">
      <c r="Y12968" s="1354"/>
      <c r="Z12968" s="1060"/>
    </row>
    <row r="12969" spans="25:26">
      <c r="Y12969" s="1354"/>
      <c r="Z12969" s="1060"/>
    </row>
    <row r="12970" spans="25:26">
      <c r="Y12970" s="1354"/>
      <c r="Z12970" s="1060"/>
    </row>
    <row r="12971" spans="25:26">
      <c r="Y12971" s="1354"/>
      <c r="Z12971" s="1060"/>
    </row>
    <row r="12972" spans="25:26">
      <c r="Y12972" s="1354"/>
      <c r="Z12972" s="1060"/>
    </row>
    <row r="12973" spans="25:26">
      <c r="Y12973" s="1354"/>
      <c r="Z12973" s="1060"/>
    </row>
    <row r="12974" spans="25:26">
      <c r="Y12974" s="1354"/>
      <c r="Z12974" s="1060"/>
    </row>
    <row r="12975" spans="25:26">
      <c r="Y12975" s="1354"/>
      <c r="Z12975" s="1060"/>
    </row>
    <row r="12976" spans="25:26">
      <c r="Y12976" s="1354"/>
      <c r="Z12976" s="1060"/>
    </row>
    <row r="12977" spans="25:26">
      <c r="Y12977" s="1354"/>
      <c r="Z12977" s="1060"/>
    </row>
    <row r="12978" spans="25:26">
      <c r="Y12978" s="1354"/>
      <c r="Z12978" s="1060"/>
    </row>
    <row r="12979" spans="25:26">
      <c r="Y12979" s="1354"/>
      <c r="Z12979" s="1060"/>
    </row>
    <row r="12980" spans="25:26">
      <c r="Y12980" s="1354"/>
      <c r="Z12980" s="1060"/>
    </row>
    <row r="12981" spans="25:26">
      <c r="Y12981" s="1354"/>
      <c r="Z12981" s="1060"/>
    </row>
    <row r="12982" spans="25:26">
      <c r="Y12982" s="1354"/>
      <c r="Z12982" s="1060"/>
    </row>
    <row r="12983" spans="25:26">
      <c r="Y12983" s="1354"/>
      <c r="Z12983" s="1060"/>
    </row>
    <row r="12984" spans="25:26">
      <c r="Y12984" s="1354"/>
      <c r="Z12984" s="1060"/>
    </row>
    <row r="12985" spans="25:26">
      <c r="Y12985" s="1354"/>
      <c r="Z12985" s="1060"/>
    </row>
    <row r="12986" spans="25:26">
      <c r="Y12986" s="1354"/>
      <c r="Z12986" s="1060"/>
    </row>
    <row r="12987" spans="25:26">
      <c r="Y12987" s="1354"/>
      <c r="Z12987" s="1060"/>
    </row>
    <row r="12988" spans="25:26">
      <c r="Y12988" s="1354"/>
      <c r="Z12988" s="1060"/>
    </row>
    <row r="12989" spans="25:26">
      <c r="Y12989" s="1354"/>
      <c r="Z12989" s="1060"/>
    </row>
    <row r="12990" spans="25:26">
      <c r="Y12990" s="1354"/>
      <c r="Z12990" s="1060"/>
    </row>
    <row r="12991" spans="25:26">
      <c r="Y12991" s="1354"/>
      <c r="Z12991" s="1060"/>
    </row>
    <row r="12992" spans="25:26">
      <c r="Y12992" s="1354"/>
      <c r="Z12992" s="1060"/>
    </row>
    <row r="12993" spans="25:26">
      <c r="Y12993" s="1354"/>
      <c r="Z12993" s="1060"/>
    </row>
    <row r="12994" spans="25:26">
      <c r="Y12994" s="1354"/>
      <c r="Z12994" s="1060"/>
    </row>
    <row r="12995" spans="25:26">
      <c r="Y12995" s="1354"/>
      <c r="Z12995" s="1060"/>
    </row>
    <row r="12996" spans="25:26">
      <c r="Y12996" s="1354"/>
      <c r="Z12996" s="1060"/>
    </row>
    <row r="12997" spans="25:26">
      <c r="Y12997" s="1354"/>
      <c r="Z12997" s="1060"/>
    </row>
    <row r="12998" spans="25:26">
      <c r="Y12998" s="1354"/>
      <c r="Z12998" s="1060"/>
    </row>
    <row r="12999" spans="25:26">
      <c r="Y12999" s="1354"/>
      <c r="Z12999" s="1060"/>
    </row>
    <row r="13000" spans="25:26">
      <c r="Y13000" s="1354"/>
      <c r="Z13000" s="1060"/>
    </row>
    <row r="13001" spans="25:26">
      <c r="Y13001" s="1354"/>
      <c r="Z13001" s="1060"/>
    </row>
    <row r="13002" spans="25:26">
      <c r="Y13002" s="1354"/>
      <c r="Z13002" s="1060"/>
    </row>
    <row r="13003" spans="25:26">
      <c r="Y13003" s="1354"/>
      <c r="Z13003" s="1060"/>
    </row>
    <row r="13004" spans="25:26">
      <c r="Y13004" s="1354"/>
      <c r="Z13004" s="1060"/>
    </row>
    <row r="13005" spans="25:26">
      <c r="Y13005" s="1354"/>
      <c r="Z13005" s="1060"/>
    </row>
    <row r="13006" spans="25:26">
      <c r="Y13006" s="1354"/>
      <c r="Z13006" s="1060"/>
    </row>
    <row r="13007" spans="25:26">
      <c r="Y13007" s="1354"/>
      <c r="Z13007" s="1060"/>
    </row>
    <row r="13008" spans="25:26">
      <c r="Y13008" s="1354"/>
      <c r="Z13008" s="1060"/>
    </row>
    <row r="13009" spans="25:26">
      <c r="Y13009" s="1354"/>
      <c r="Z13009" s="1060"/>
    </row>
    <row r="13010" spans="25:26">
      <c r="Y13010" s="1354"/>
      <c r="Z13010" s="1060"/>
    </row>
    <row r="13011" spans="25:26">
      <c r="Y13011" s="1354"/>
      <c r="Z13011" s="1060"/>
    </row>
    <row r="13012" spans="25:26">
      <c r="Y13012" s="1354"/>
      <c r="Z13012" s="1060"/>
    </row>
    <row r="13013" spans="25:26">
      <c r="Y13013" s="1354"/>
      <c r="Z13013" s="1060"/>
    </row>
    <row r="13014" spans="25:26">
      <c r="Y13014" s="1354"/>
      <c r="Z13014" s="1060"/>
    </row>
    <row r="13015" spans="25:26">
      <c r="Y13015" s="1354"/>
      <c r="Z13015" s="1060"/>
    </row>
    <row r="13016" spans="25:26">
      <c r="Y13016" s="1354"/>
      <c r="Z13016" s="1060"/>
    </row>
    <row r="13017" spans="25:26">
      <c r="Y13017" s="1354"/>
      <c r="Z13017" s="1060"/>
    </row>
    <row r="13018" spans="25:26">
      <c r="Y13018" s="1354"/>
      <c r="Z13018" s="1060"/>
    </row>
    <row r="13019" spans="25:26">
      <c r="Y13019" s="1354"/>
      <c r="Z13019" s="1060"/>
    </row>
    <row r="13020" spans="25:26">
      <c r="Y13020" s="1354"/>
      <c r="Z13020" s="1060"/>
    </row>
    <row r="13021" spans="25:26">
      <c r="Y13021" s="1354"/>
      <c r="Z13021" s="1060"/>
    </row>
    <row r="13022" spans="25:26">
      <c r="Y13022" s="1354"/>
      <c r="Z13022" s="1060"/>
    </row>
    <row r="13023" spans="25:26">
      <c r="Y13023" s="1354"/>
      <c r="Z13023" s="1060"/>
    </row>
    <row r="13024" spans="25:26">
      <c r="Y13024" s="1354"/>
      <c r="Z13024" s="1060"/>
    </row>
    <row r="13025" spans="25:26">
      <c r="Y13025" s="1354"/>
      <c r="Z13025" s="1060"/>
    </row>
    <row r="13026" spans="25:26">
      <c r="Y13026" s="1354"/>
      <c r="Z13026" s="1060"/>
    </row>
    <row r="13027" spans="25:26">
      <c r="Y13027" s="1354"/>
      <c r="Z13027" s="1060"/>
    </row>
    <row r="13028" spans="25:26">
      <c r="Y13028" s="1354"/>
      <c r="Z13028" s="1060"/>
    </row>
    <row r="13029" spans="25:26">
      <c r="Y13029" s="1354"/>
      <c r="Z13029" s="1060"/>
    </row>
    <row r="13030" spans="25:26">
      <c r="Y13030" s="1354"/>
      <c r="Z13030" s="1060"/>
    </row>
    <row r="13031" spans="25:26">
      <c r="Y13031" s="1354"/>
      <c r="Z13031" s="1060"/>
    </row>
    <row r="13032" spans="25:26">
      <c r="Y13032" s="1354"/>
      <c r="Z13032" s="1060"/>
    </row>
    <row r="13033" spans="25:26">
      <c r="Y13033" s="1354"/>
      <c r="Z13033" s="1060"/>
    </row>
    <row r="13034" spans="25:26">
      <c r="Y13034" s="1354"/>
      <c r="Z13034" s="1060"/>
    </row>
    <row r="13035" spans="25:26">
      <c r="Y13035" s="1354"/>
      <c r="Z13035" s="1060"/>
    </row>
    <row r="13036" spans="25:26">
      <c r="Y13036" s="1354"/>
      <c r="Z13036" s="1060"/>
    </row>
    <row r="13037" spans="25:26">
      <c r="Y13037" s="1354"/>
      <c r="Z13037" s="1060"/>
    </row>
    <row r="13038" spans="25:26">
      <c r="Y13038" s="1354"/>
      <c r="Z13038" s="1060"/>
    </row>
    <row r="13039" spans="25:26">
      <c r="Y13039" s="1354"/>
      <c r="Z13039" s="1060"/>
    </row>
    <row r="13040" spans="25:26">
      <c r="Y13040" s="1354"/>
      <c r="Z13040" s="1060"/>
    </row>
    <row r="13041" spans="25:26">
      <c r="Y13041" s="1354"/>
      <c r="Z13041" s="1060"/>
    </row>
    <row r="13042" spans="25:26">
      <c r="Y13042" s="1354"/>
      <c r="Z13042" s="1060"/>
    </row>
    <row r="13043" spans="25:26">
      <c r="Y13043" s="1354"/>
      <c r="Z13043" s="1060"/>
    </row>
    <row r="13044" spans="25:26">
      <c r="Y13044" s="1354"/>
      <c r="Z13044" s="1060"/>
    </row>
    <row r="13045" spans="25:26">
      <c r="Y13045" s="1354"/>
      <c r="Z13045" s="1060"/>
    </row>
    <row r="13046" spans="25:26">
      <c r="Y13046" s="1354"/>
      <c r="Z13046" s="1060"/>
    </row>
    <row r="13047" spans="25:26">
      <c r="Y13047" s="1354"/>
      <c r="Z13047" s="1060"/>
    </row>
    <row r="13048" spans="25:26">
      <c r="Y13048" s="1354"/>
      <c r="Z13048" s="1060"/>
    </row>
    <row r="13049" spans="25:26">
      <c r="Y13049" s="1354"/>
      <c r="Z13049" s="1060"/>
    </row>
    <row r="13050" spans="25:26">
      <c r="Y13050" s="1354"/>
      <c r="Z13050" s="1060"/>
    </row>
    <row r="13051" spans="25:26">
      <c r="Y13051" s="1354"/>
      <c r="Z13051" s="1060"/>
    </row>
    <row r="13052" spans="25:26">
      <c r="Y13052" s="1354"/>
      <c r="Z13052" s="1060"/>
    </row>
    <row r="13053" spans="25:26">
      <c r="Y13053" s="1354"/>
      <c r="Z13053" s="1060"/>
    </row>
    <row r="13054" spans="25:26">
      <c r="Y13054" s="1354"/>
      <c r="Z13054" s="1060"/>
    </row>
    <row r="13055" spans="25:26">
      <c r="Y13055" s="1354"/>
      <c r="Z13055" s="1060"/>
    </row>
    <row r="13056" spans="25:26">
      <c r="Y13056" s="1354"/>
      <c r="Z13056" s="1060"/>
    </row>
    <row r="13057" spans="25:26">
      <c r="Y13057" s="1354"/>
      <c r="Z13057" s="1060"/>
    </row>
    <row r="13058" spans="25:26">
      <c r="Y13058" s="1354"/>
      <c r="Z13058" s="1060"/>
    </row>
    <row r="13059" spans="25:26">
      <c r="Y13059" s="1354"/>
      <c r="Z13059" s="1060"/>
    </row>
    <row r="13060" spans="25:26">
      <c r="Y13060" s="1354"/>
      <c r="Z13060" s="1060"/>
    </row>
    <row r="13061" spans="25:26">
      <c r="Y13061" s="1354"/>
      <c r="Z13061" s="1060"/>
    </row>
    <row r="13062" spans="25:26">
      <c r="Y13062" s="1354"/>
      <c r="Z13062" s="1060"/>
    </row>
    <row r="13063" spans="25:26">
      <c r="Y13063" s="1354"/>
      <c r="Z13063" s="1060"/>
    </row>
    <row r="13064" spans="25:26">
      <c r="Y13064" s="1354"/>
      <c r="Z13064" s="1060"/>
    </row>
    <row r="13065" spans="25:26">
      <c r="Y13065" s="1354"/>
      <c r="Z13065" s="1060"/>
    </row>
    <row r="13066" spans="25:26">
      <c r="Y13066" s="1354"/>
      <c r="Z13066" s="1060"/>
    </row>
    <row r="13067" spans="25:26">
      <c r="Y13067" s="1354"/>
      <c r="Z13067" s="1060"/>
    </row>
    <row r="13068" spans="25:26">
      <c r="Y13068" s="1354"/>
      <c r="Z13068" s="1060"/>
    </row>
    <row r="13069" spans="25:26">
      <c r="Y13069" s="1354"/>
      <c r="Z13069" s="1060"/>
    </row>
    <row r="13070" spans="25:26">
      <c r="Y13070" s="1354"/>
      <c r="Z13070" s="1060"/>
    </row>
    <row r="13071" spans="25:26">
      <c r="Y13071" s="1354"/>
      <c r="Z13071" s="1060"/>
    </row>
    <row r="13072" spans="25:26">
      <c r="Y13072" s="1354"/>
      <c r="Z13072" s="1060"/>
    </row>
    <row r="13073" spans="25:26">
      <c r="Y13073" s="1354"/>
      <c r="Z13073" s="1060"/>
    </row>
    <row r="13074" spans="25:26">
      <c r="Y13074" s="1354"/>
      <c r="Z13074" s="1060"/>
    </row>
    <row r="13075" spans="25:26">
      <c r="Y13075" s="1354"/>
      <c r="Z13075" s="1060"/>
    </row>
    <row r="13076" spans="25:26">
      <c r="Y13076" s="1354"/>
      <c r="Z13076" s="1060"/>
    </row>
    <row r="13077" spans="25:26">
      <c r="Y13077" s="1354"/>
      <c r="Z13077" s="1060"/>
    </row>
    <row r="13078" spans="25:26">
      <c r="Y13078" s="1354"/>
      <c r="Z13078" s="1060"/>
    </row>
    <row r="13079" spans="25:26">
      <c r="Y13079" s="1354"/>
      <c r="Z13079" s="1060"/>
    </row>
    <row r="13080" spans="25:26">
      <c r="Y13080" s="1354"/>
      <c r="Z13080" s="1060"/>
    </row>
    <row r="13081" spans="25:26">
      <c r="Y13081" s="1354"/>
      <c r="Z13081" s="1060"/>
    </row>
    <row r="13082" spans="25:26">
      <c r="Y13082" s="1354"/>
      <c r="Z13082" s="1060"/>
    </row>
    <row r="13083" spans="25:26">
      <c r="Y13083" s="1354"/>
      <c r="Z13083" s="1060"/>
    </row>
    <row r="13084" spans="25:26">
      <c r="Y13084" s="1354"/>
      <c r="Z13084" s="1060"/>
    </row>
    <row r="13085" spans="25:26">
      <c r="Y13085" s="1354"/>
      <c r="Z13085" s="1060"/>
    </row>
    <row r="13086" spans="25:26">
      <c r="Y13086" s="1354"/>
      <c r="Z13086" s="1060"/>
    </row>
    <row r="13087" spans="25:26">
      <c r="Y13087" s="1354"/>
      <c r="Z13087" s="1060"/>
    </row>
    <row r="13088" spans="25:26">
      <c r="Y13088" s="1354"/>
      <c r="Z13088" s="1060"/>
    </row>
    <row r="13089" spans="25:26">
      <c r="Y13089" s="1354"/>
      <c r="Z13089" s="1060"/>
    </row>
    <row r="13090" spans="25:26">
      <c r="Y13090" s="1354"/>
      <c r="Z13090" s="1060"/>
    </row>
    <row r="13091" spans="25:26">
      <c r="Y13091" s="1354"/>
      <c r="Z13091" s="1060"/>
    </row>
    <row r="13092" spans="25:26">
      <c r="Y13092" s="1354"/>
      <c r="Z13092" s="1060"/>
    </row>
    <row r="13093" spans="25:26">
      <c r="Y13093" s="1354"/>
      <c r="Z13093" s="1060"/>
    </row>
    <row r="13094" spans="25:26">
      <c r="Y13094" s="1354"/>
      <c r="Z13094" s="1060"/>
    </row>
    <row r="13095" spans="25:26">
      <c r="Y13095" s="1354"/>
      <c r="Z13095" s="1060"/>
    </row>
    <row r="13096" spans="25:26">
      <c r="Y13096" s="1354"/>
      <c r="Z13096" s="1060"/>
    </row>
    <row r="13097" spans="25:26">
      <c r="Y13097" s="1354"/>
      <c r="Z13097" s="1060"/>
    </row>
    <row r="13098" spans="25:26">
      <c r="Y13098" s="1354"/>
      <c r="Z13098" s="1060"/>
    </row>
    <row r="13099" spans="25:26">
      <c r="Y13099" s="1354"/>
      <c r="Z13099" s="1060"/>
    </row>
    <row r="13100" spans="25:26">
      <c r="Y13100" s="1354"/>
      <c r="Z13100" s="1060"/>
    </row>
    <row r="13101" spans="25:26">
      <c r="Y13101" s="1354"/>
      <c r="Z13101" s="1060"/>
    </row>
    <row r="13102" spans="25:26">
      <c r="Y13102" s="1354"/>
      <c r="Z13102" s="1060"/>
    </row>
    <row r="13103" spans="25:26">
      <c r="Y13103" s="1354"/>
      <c r="Z13103" s="1060"/>
    </row>
    <row r="13104" spans="25:26">
      <c r="Y13104" s="1354"/>
      <c r="Z13104" s="1060"/>
    </row>
    <row r="13105" spans="25:26">
      <c r="Y13105" s="1354"/>
      <c r="Z13105" s="1060"/>
    </row>
    <row r="13106" spans="25:26">
      <c r="Y13106" s="1354"/>
      <c r="Z13106" s="1060"/>
    </row>
    <row r="13107" spans="25:26">
      <c r="Y13107" s="1354"/>
      <c r="Z13107" s="1060"/>
    </row>
    <row r="13108" spans="25:26">
      <c r="Y13108" s="1354"/>
      <c r="Z13108" s="1060"/>
    </row>
    <row r="13109" spans="25:26">
      <c r="Y13109" s="1354"/>
      <c r="Z13109" s="1060"/>
    </row>
    <row r="13110" spans="25:26">
      <c r="Y13110" s="1354"/>
      <c r="Z13110" s="1060"/>
    </row>
    <row r="13111" spans="25:26">
      <c r="Y13111" s="1354"/>
      <c r="Z13111" s="1060"/>
    </row>
    <row r="13112" spans="25:26">
      <c r="Y13112" s="1354"/>
      <c r="Z13112" s="1060"/>
    </row>
    <row r="13113" spans="25:26">
      <c r="Y13113" s="1354"/>
      <c r="Z13113" s="1060"/>
    </row>
    <row r="13114" spans="25:26">
      <c r="Y13114" s="1354"/>
      <c r="Z13114" s="1060"/>
    </row>
    <row r="13115" spans="25:26">
      <c r="Y13115" s="1354"/>
      <c r="Z13115" s="1060"/>
    </row>
    <row r="13116" spans="25:26">
      <c r="Y13116" s="1354"/>
      <c r="Z13116" s="1060"/>
    </row>
    <row r="13117" spans="25:26">
      <c r="Y13117" s="1354"/>
      <c r="Z13117" s="1060"/>
    </row>
    <row r="13118" spans="25:26">
      <c r="Y13118" s="1354"/>
      <c r="Z13118" s="1060"/>
    </row>
    <row r="13119" spans="25:26">
      <c r="Y13119" s="1354"/>
      <c r="Z13119" s="1060"/>
    </row>
    <row r="13120" spans="25:26">
      <c r="Y13120" s="1354"/>
      <c r="Z13120" s="1060"/>
    </row>
    <row r="13121" spans="25:26">
      <c r="Y13121" s="1354"/>
      <c r="Z13121" s="1060"/>
    </row>
    <row r="13122" spans="25:26">
      <c r="Y13122" s="1354"/>
      <c r="Z13122" s="1060"/>
    </row>
    <row r="13123" spans="25:26">
      <c r="Y13123" s="1354"/>
      <c r="Z13123" s="1060"/>
    </row>
    <row r="13124" spans="25:26">
      <c r="Y13124" s="1354"/>
      <c r="Z13124" s="1060"/>
    </row>
    <row r="13125" spans="25:26">
      <c r="Y13125" s="1354"/>
      <c r="Z13125" s="1060"/>
    </row>
    <row r="13126" spans="25:26">
      <c r="Y13126" s="1354"/>
      <c r="Z13126" s="1060"/>
    </row>
    <row r="13127" spans="25:26">
      <c r="Y13127" s="1354"/>
      <c r="Z13127" s="1060"/>
    </row>
    <row r="13128" spans="25:26">
      <c r="Y13128" s="1354"/>
      <c r="Z13128" s="1060"/>
    </row>
    <row r="13129" spans="25:26">
      <c r="Y13129" s="1354"/>
      <c r="Z13129" s="1060"/>
    </row>
    <row r="13130" spans="25:26">
      <c r="Y13130" s="1354"/>
      <c r="Z13130" s="1060"/>
    </row>
    <row r="13131" spans="25:26">
      <c r="Y13131" s="1354"/>
      <c r="Z13131" s="1060"/>
    </row>
    <row r="13132" spans="25:26">
      <c r="Y13132" s="1354"/>
      <c r="Z13132" s="1060"/>
    </row>
    <row r="13133" spans="25:26">
      <c r="Y13133" s="1354"/>
      <c r="Z13133" s="1060"/>
    </row>
    <row r="13134" spans="25:26">
      <c r="Y13134" s="1354"/>
      <c r="Z13134" s="1060"/>
    </row>
    <row r="13135" spans="25:26">
      <c r="Y13135" s="1354"/>
      <c r="Z13135" s="1060"/>
    </row>
    <row r="13136" spans="25:26">
      <c r="Y13136" s="1354"/>
      <c r="Z13136" s="1060"/>
    </row>
    <row r="13137" spans="25:26">
      <c r="Y13137" s="1354"/>
      <c r="Z13137" s="1060"/>
    </row>
    <row r="13138" spans="25:26">
      <c r="Y13138" s="1354"/>
      <c r="Z13138" s="1060"/>
    </row>
    <row r="13139" spans="25:26">
      <c r="Y13139" s="1354"/>
      <c r="Z13139" s="1060"/>
    </row>
    <row r="13140" spans="25:26">
      <c r="Y13140" s="1354"/>
      <c r="Z13140" s="1060"/>
    </row>
    <row r="13141" spans="25:26">
      <c r="Y13141" s="1354"/>
      <c r="Z13141" s="1060"/>
    </row>
    <row r="13142" spans="25:26">
      <c r="Y13142" s="1354"/>
      <c r="Z13142" s="1060"/>
    </row>
    <row r="13143" spans="25:26">
      <c r="Y13143" s="1354"/>
      <c r="Z13143" s="1060"/>
    </row>
    <row r="13144" spans="25:26">
      <c r="Y13144" s="1354"/>
      <c r="Z13144" s="1060"/>
    </row>
    <row r="13145" spans="25:26">
      <c r="Y13145" s="1354"/>
      <c r="Z13145" s="1060"/>
    </row>
    <row r="13146" spans="25:26">
      <c r="Y13146" s="1354"/>
      <c r="Z13146" s="1060"/>
    </row>
    <row r="13147" spans="25:26">
      <c r="Y13147" s="1354"/>
      <c r="Z13147" s="1060"/>
    </row>
    <row r="13148" spans="25:26">
      <c r="Y13148" s="1354"/>
      <c r="Z13148" s="1060"/>
    </row>
    <row r="13149" spans="25:26">
      <c r="Y13149" s="1354"/>
      <c r="Z13149" s="1060"/>
    </row>
    <row r="13150" spans="25:26">
      <c r="Y13150" s="1354"/>
      <c r="Z13150" s="1060"/>
    </row>
    <row r="13151" spans="25:26">
      <c r="Y13151" s="1354"/>
      <c r="Z13151" s="1060"/>
    </row>
    <row r="13152" spans="25:26">
      <c r="Y13152" s="1354"/>
      <c r="Z13152" s="1060"/>
    </row>
    <row r="13153" spans="25:26">
      <c r="Y13153" s="1354"/>
      <c r="Z13153" s="1060"/>
    </row>
    <row r="13154" spans="25:26">
      <c r="Y13154" s="1354"/>
      <c r="Z13154" s="1060"/>
    </row>
    <row r="13155" spans="25:26">
      <c r="Y13155" s="1354"/>
      <c r="Z13155" s="1060"/>
    </row>
    <row r="13156" spans="25:26">
      <c r="Y13156" s="1354"/>
      <c r="Z13156" s="1060"/>
    </row>
    <row r="13157" spans="25:26">
      <c r="Y13157" s="1354"/>
      <c r="Z13157" s="1060"/>
    </row>
    <row r="13158" spans="25:26">
      <c r="Y13158" s="1354"/>
      <c r="Z13158" s="1060"/>
    </row>
    <row r="13159" spans="25:26">
      <c r="Y13159" s="1354"/>
      <c r="Z13159" s="1060"/>
    </row>
    <row r="13160" spans="25:26">
      <c r="Y13160" s="1354"/>
      <c r="Z13160" s="1060"/>
    </row>
    <row r="13161" spans="25:26">
      <c r="Y13161" s="1354"/>
      <c r="Z13161" s="1060"/>
    </row>
    <row r="13162" spans="25:26">
      <c r="Y13162" s="1354"/>
      <c r="Z13162" s="1060"/>
    </row>
    <row r="13163" spans="25:26">
      <c r="Y13163" s="1354"/>
      <c r="Z13163" s="1060"/>
    </row>
    <row r="13164" spans="25:26">
      <c r="Y13164" s="1354"/>
      <c r="Z13164" s="1060"/>
    </row>
    <row r="13165" spans="25:26">
      <c r="Y13165" s="1354"/>
      <c r="Z13165" s="1060"/>
    </row>
    <row r="13166" spans="25:26">
      <c r="Y13166" s="1354"/>
      <c r="Z13166" s="1060"/>
    </row>
    <row r="13167" spans="25:26">
      <c r="Y13167" s="1354"/>
      <c r="Z13167" s="1060"/>
    </row>
    <row r="13168" spans="25:26">
      <c r="Y13168" s="1354"/>
      <c r="Z13168" s="1060"/>
    </row>
    <row r="13169" spans="25:26">
      <c r="Y13169" s="1354"/>
      <c r="Z13169" s="1060"/>
    </row>
    <row r="13170" spans="25:26">
      <c r="Y13170" s="1354"/>
      <c r="Z13170" s="1060"/>
    </row>
    <row r="13171" spans="25:26">
      <c r="Y13171" s="1354"/>
      <c r="Z13171" s="1060"/>
    </row>
    <row r="13172" spans="25:26">
      <c r="Y13172" s="1354"/>
      <c r="Z13172" s="1060"/>
    </row>
    <row r="13173" spans="25:26">
      <c r="Y13173" s="1354"/>
      <c r="Z13173" s="1060"/>
    </row>
    <row r="13174" spans="25:26">
      <c r="Y13174" s="1354"/>
      <c r="Z13174" s="1060"/>
    </row>
    <row r="13175" spans="25:26">
      <c r="Y13175" s="1354"/>
      <c r="Z13175" s="1060"/>
    </row>
    <row r="13176" spans="25:26">
      <c r="Y13176" s="1354"/>
      <c r="Z13176" s="1060"/>
    </row>
    <row r="13177" spans="25:26">
      <c r="Y13177" s="1354"/>
      <c r="Z13177" s="1060"/>
    </row>
    <row r="13178" spans="25:26">
      <c r="Y13178" s="1354"/>
      <c r="Z13178" s="1060"/>
    </row>
    <row r="13179" spans="25:26">
      <c r="Y13179" s="1354"/>
      <c r="Z13179" s="1060"/>
    </row>
    <row r="13180" spans="25:26">
      <c r="Y13180" s="1354"/>
      <c r="Z13180" s="1060"/>
    </row>
    <row r="13181" spans="25:26">
      <c r="Y13181" s="1354"/>
      <c r="Z13181" s="1060"/>
    </row>
    <row r="13182" spans="25:26">
      <c r="Y13182" s="1354"/>
      <c r="Z13182" s="1060"/>
    </row>
    <row r="13183" spans="25:26">
      <c r="Y13183" s="1354"/>
      <c r="Z13183" s="1060"/>
    </row>
    <row r="13184" spans="25:26">
      <c r="Y13184" s="1354"/>
      <c r="Z13184" s="1060"/>
    </row>
    <row r="13185" spans="25:26">
      <c r="Y13185" s="1354"/>
      <c r="Z13185" s="1060"/>
    </row>
    <row r="13186" spans="25:26">
      <c r="Y13186" s="1354"/>
      <c r="Z13186" s="1060"/>
    </row>
    <row r="13187" spans="25:26">
      <c r="Y13187" s="1354"/>
      <c r="Z13187" s="1060"/>
    </row>
    <row r="13188" spans="25:26">
      <c r="Y13188" s="1354"/>
      <c r="Z13188" s="1060"/>
    </row>
    <row r="13189" spans="25:26">
      <c r="Y13189" s="1354"/>
      <c r="Z13189" s="1060"/>
    </row>
    <row r="13190" spans="25:26">
      <c r="Y13190" s="1354"/>
      <c r="Z13190" s="1060"/>
    </row>
    <row r="13191" spans="25:26">
      <c r="Y13191" s="1354"/>
      <c r="Z13191" s="1060"/>
    </row>
    <row r="13192" spans="25:26">
      <c r="Y13192" s="1354"/>
      <c r="Z13192" s="1060"/>
    </row>
    <row r="13193" spans="25:26">
      <c r="Y13193" s="1354"/>
      <c r="Z13193" s="1060"/>
    </row>
    <row r="13194" spans="25:26">
      <c r="Y13194" s="1354"/>
      <c r="Z13194" s="1060"/>
    </row>
    <row r="13195" spans="25:26">
      <c r="Y13195" s="1354"/>
      <c r="Z13195" s="1060"/>
    </row>
    <row r="13196" spans="25:26">
      <c r="Y13196" s="1354"/>
      <c r="Z13196" s="1060"/>
    </row>
    <row r="13197" spans="25:26">
      <c r="Y13197" s="1354"/>
      <c r="Z13197" s="1060"/>
    </row>
    <row r="13198" spans="25:26">
      <c r="Y13198" s="1354"/>
      <c r="Z13198" s="1060"/>
    </row>
    <row r="13199" spans="25:26">
      <c r="Y13199" s="1354"/>
      <c r="Z13199" s="1060"/>
    </row>
    <row r="13200" spans="25:26">
      <c r="Y13200" s="1354"/>
      <c r="Z13200" s="1060"/>
    </row>
    <row r="13201" spans="25:26">
      <c r="Y13201" s="1354"/>
      <c r="Z13201" s="1060"/>
    </row>
    <row r="13202" spans="25:26">
      <c r="Y13202" s="1354"/>
      <c r="Z13202" s="1060"/>
    </row>
    <row r="13203" spans="25:26">
      <c r="Y13203" s="1354"/>
      <c r="Z13203" s="1060"/>
    </row>
    <row r="13204" spans="25:26">
      <c r="Y13204" s="1354"/>
      <c r="Z13204" s="1060"/>
    </row>
    <row r="13205" spans="25:26">
      <c r="Y13205" s="1354"/>
      <c r="Z13205" s="1060"/>
    </row>
    <row r="13206" spans="25:26">
      <c r="Y13206" s="1354"/>
      <c r="Z13206" s="1060"/>
    </row>
    <row r="13207" spans="25:26">
      <c r="Y13207" s="1354"/>
      <c r="Z13207" s="1060"/>
    </row>
    <row r="13208" spans="25:26">
      <c r="Y13208" s="1354"/>
      <c r="Z13208" s="1060"/>
    </row>
    <row r="13209" spans="25:26">
      <c r="Y13209" s="1354"/>
      <c r="Z13209" s="1060"/>
    </row>
    <row r="13210" spans="25:26">
      <c r="Y13210" s="1354"/>
      <c r="Z13210" s="1060"/>
    </row>
    <row r="13211" spans="25:26">
      <c r="Y13211" s="1354"/>
      <c r="Z13211" s="1060"/>
    </row>
    <row r="13212" spans="25:26">
      <c r="Y13212" s="1354"/>
      <c r="Z13212" s="1060"/>
    </row>
    <row r="13213" spans="25:26">
      <c r="Y13213" s="1354"/>
      <c r="Z13213" s="1060"/>
    </row>
    <row r="13214" spans="25:26">
      <c r="Y13214" s="1354"/>
      <c r="Z13214" s="1060"/>
    </row>
    <row r="13215" spans="25:26">
      <c r="Y13215" s="1354"/>
      <c r="Z13215" s="1060"/>
    </row>
    <row r="13216" spans="25:26">
      <c r="Y13216" s="1354"/>
      <c r="Z13216" s="1060"/>
    </row>
    <row r="13217" spans="25:26">
      <c r="Y13217" s="1354"/>
      <c r="Z13217" s="1060"/>
    </row>
    <row r="13218" spans="25:26">
      <c r="Y13218" s="1354"/>
      <c r="Z13218" s="1060"/>
    </row>
    <row r="13219" spans="25:26">
      <c r="Y13219" s="1354"/>
      <c r="Z13219" s="1060"/>
    </row>
    <row r="13220" spans="25:26">
      <c r="Y13220" s="1354"/>
      <c r="Z13220" s="1060"/>
    </row>
    <row r="13221" spans="25:26">
      <c r="Y13221" s="1354"/>
      <c r="Z13221" s="1060"/>
    </row>
    <row r="13222" spans="25:26">
      <c r="Y13222" s="1354"/>
      <c r="Z13222" s="1060"/>
    </row>
    <row r="13223" spans="25:26">
      <c r="Y13223" s="1354"/>
      <c r="Z13223" s="1060"/>
    </row>
    <row r="13224" spans="25:26">
      <c r="Y13224" s="1354"/>
      <c r="Z13224" s="1060"/>
    </row>
    <row r="13225" spans="25:26">
      <c r="Y13225" s="1354"/>
      <c r="Z13225" s="1060"/>
    </row>
    <row r="13226" spans="25:26">
      <c r="Y13226" s="1354"/>
      <c r="Z13226" s="1060"/>
    </row>
    <row r="13227" spans="25:26">
      <c r="Y13227" s="1354"/>
      <c r="Z13227" s="1060"/>
    </row>
    <row r="13228" spans="25:26">
      <c r="Y13228" s="1354"/>
      <c r="Z13228" s="1060"/>
    </row>
    <row r="13229" spans="25:26">
      <c r="Y13229" s="1354"/>
      <c r="Z13229" s="1060"/>
    </row>
    <row r="13230" spans="25:26">
      <c r="Y13230" s="1354"/>
      <c r="Z13230" s="1060"/>
    </row>
    <row r="13231" spans="25:26">
      <c r="Y13231" s="1354"/>
      <c r="Z13231" s="1060"/>
    </row>
    <row r="13232" spans="25:26">
      <c r="Y13232" s="1354"/>
      <c r="Z13232" s="1060"/>
    </row>
    <row r="13233" spans="25:26">
      <c r="Y13233" s="1354"/>
      <c r="Z13233" s="1060"/>
    </row>
    <row r="13234" spans="25:26">
      <c r="Y13234" s="1354"/>
      <c r="Z13234" s="1060"/>
    </row>
    <row r="13235" spans="25:26">
      <c r="Y13235" s="1354"/>
      <c r="Z13235" s="1060"/>
    </row>
    <row r="13236" spans="25:26">
      <c r="Y13236" s="1354"/>
      <c r="Z13236" s="1060"/>
    </row>
    <row r="13237" spans="25:26">
      <c r="Y13237" s="1354"/>
      <c r="Z13237" s="1060"/>
    </row>
    <row r="13238" spans="25:26">
      <c r="Y13238" s="1354"/>
      <c r="Z13238" s="1060"/>
    </row>
    <row r="13239" spans="25:26">
      <c r="Y13239" s="1354"/>
      <c r="Z13239" s="1060"/>
    </row>
    <row r="13240" spans="25:26">
      <c r="Y13240" s="1354"/>
      <c r="Z13240" s="1060"/>
    </row>
    <row r="13241" spans="25:26">
      <c r="Y13241" s="1354"/>
      <c r="Z13241" s="1060"/>
    </row>
    <row r="13242" spans="25:26">
      <c r="Y13242" s="1354"/>
      <c r="Z13242" s="1060"/>
    </row>
    <row r="13243" spans="25:26">
      <c r="Y13243" s="1354"/>
      <c r="Z13243" s="1060"/>
    </row>
    <row r="13244" spans="25:26">
      <c r="Y13244" s="1354"/>
      <c r="Z13244" s="1060"/>
    </row>
    <row r="13245" spans="25:26">
      <c r="Y13245" s="1354"/>
      <c r="Z13245" s="1060"/>
    </row>
    <row r="13246" spans="25:26">
      <c r="Y13246" s="1354"/>
      <c r="Z13246" s="1060"/>
    </row>
    <row r="13247" spans="25:26">
      <c r="Y13247" s="1354"/>
      <c r="Z13247" s="1060"/>
    </row>
    <row r="13248" spans="25:26">
      <c r="Y13248" s="1354"/>
      <c r="Z13248" s="1060"/>
    </row>
    <row r="13249" spans="25:26">
      <c r="Y13249" s="1354"/>
      <c r="Z13249" s="1060"/>
    </row>
    <row r="13250" spans="25:26">
      <c r="Y13250" s="1354"/>
      <c r="Z13250" s="1060"/>
    </row>
    <row r="13251" spans="25:26">
      <c r="Y13251" s="1354"/>
      <c r="Z13251" s="1060"/>
    </row>
    <row r="13252" spans="25:26">
      <c r="Y13252" s="1354"/>
      <c r="Z13252" s="1060"/>
    </row>
    <row r="13253" spans="25:26">
      <c r="Y13253" s="1354"/>
      <c r="Z13253" s="1060"/>
    </row>
    <row r="13254" spans="25:26">
      <c r="Y13254" s="1354"/>
      <c r="Z13254" s="1060"/>
    </row>
    <row r="13255" spans="25:26">
      <c r="Y13255" s="1354"/>
      <c r="Z13255" s="1060"/>
    </row>
    <row r="13256" spans="25:26">
      <c r="Y13256" s="1354"/>
      <c r="Z13256" s="1060"/>
    </row>
    <row r="13257" spans="25:26">
      <c r="Y13257" s="1354"/>
      <c r="Z13257" s="1060"/>
    </row>
    <row r="13258" spans="25:26">
      <c r="Y13258" s="1354"/>
      <c r="Z13258" s="1060"/>
    </row>
    <row r="13259" spans="25:26">
      <c r="Y13259" s="1354"/>
      <c r="Z13259" s="1060"/>
    </row>
    <row r="13260" spans="25:26">
      <c r="Y13260" s="1354"/>
      <c r="Z13260" s="1060"/>
    </row>
    <row r="13261" spans="25:26">
      <c r="Y13261" s="1354"/>
      <c r="Z13261" s="1060"/>
    </row>
    <row r="13262" spans="25:26">
      <c r="Y13262" s="1354"/>
      <c r="Z13262" s="1060"/>
    </row>
    <row r="13263" spans="25:26">
      <c r="Y13263" s="1354"/>
      <c r="Z13263" s="1060"/>
    </row>
    <row r="13264" spans="25:26">
      <c r="Y13264" s="1354"/>
      <c r="Z13264" s="1060"/>
    </row>
    <row r="13265" spans="25:26">
      <c r="Y13265" s="1354"/>
      <c r="Z13265" s="1060"/>
    </row>
    <row r="13266" spans="25:26">
      <c r="Y13266" s="1354"/>
      <c r="Z13266" s="1060"/>
    </row>
    <row r="13267" spans="25:26">
      <c r="Y13267" s="1354"/>
      <c r="Z13267" s="1060"/>
    </row>
    <row r="13268" spans="25:26">
      <c r="Y13268" s="1354"/>
      <c r="Z13268" s="1060"/>
    </row>
    <row r="13269" spans="25:26">
      <c r="Y13269" s="1354"/>
      <c r="Z13269" s="1060"/>
    </row>
    <row r="13270" spans="25:26">
      <c r="Y13270" s="1354"/>
      <c r="Z13270" s="1060"/>
    </row>
    <row r="13271" spans="25:26">
      <c r="Y13271" s="1354"/>
      <c r="Z13271" s="1060"/>
    </row>
    <row r="13272" spans="25:26">
      <c r="Y13272" s="1354"/>
      <c r="Z13272" s="1060"/>
    </row>
    <row r="13273" spans="25:26">
      <c r="Y13273" s="1354"/>
      <c r="Z13273" s="1060"/>
    </row>
    <row r="13274" spans="25:26">
      <c r="Y13274" s="1354"/>
      <c r="Z13274" s="1060"/>
    </row>
    <row r="13275" spans="25:26">
      <c r="Y13275" s="1354"/>
      <c r="Z13275" s="1060"/>
    </row>
    <row r="13276" spans="25:26">
      <c r="Y13276" s="1354"/>
      <c r="Z13276" s="1060"/>
    </row>
    <row r="13277" spans="25:26">
      <c r="Y13277" s="1354"/>
      <c r="Z13277" s="1060"/>
    </row>
    <row r="13278" spans="25:26">
      <c r="Y13278" s="1354"/>
      <c r="Z13278" s="1060"/>
    </row>
    <row r="13279" spans="25:26">
      <c r="Y13279" s="1354"/>
      <c r="Z13279" s="1060"/>
    </row>
    <row r="13280" spans="25:26">
      <c r="Y13280" s="1354"/>
      <c r="Z13280" s="1060"/>
    </row>
    <row r="13281" spans="25:26">
      <c r="Y13281" s="1354"/>
      <c r="Z13281" s="1060"/>
    </row>
    <row r="13282" spans="25:26">
      <c r="Y13282" s="1354"/>
      <c r="Z13282" s="1060"/>
    </row>
    <row r="13283" spans="25:26">
      <c r="Y13283" s="1354"/>
      <c r="Z13283" s="1060"/>
    </row>
    <row r="13284" spans="25:26">
      <c r="Y13284" s="1354"/>
      <c r="Z13284" s="1060"/>
    </row>
    <row r="13285" spans="25:26">
      <c r="Y13285" s="1354"/>
      <c r="Z13285" s="1060"/>
    </row>
    <row r="13286" spans="25:26">
      <c r="Y13286" s="1354"/>
      <c r="Z13286" s="1060"/>
    </row>
    <row r="13287" spans="25:26">
      <c r="Y13287" s="1354"/>
      <c r="Z13287" s="1060"/>
    </row>
    <row r="13288" spans="25:26">
      <c r="Y13288" s="1354"/>
      <c r="Z13288" s="1060"/>
    </row>
    <row r="13289" spans="25:26">
      <c r="Y13289" s="1354"/>
      <c r="Z13289" s="1060"/>
    </row>
    <row r="13290" spans="25:26">
      <c r="Y13290" s="1354"/>
      <c r="Z13290" s="1060"/>
    </row>
    <row r="13291" spans="25:26">
      <c r="Y13291" s="1354"/>
      <c r="Z13291" s="1060"/>
    </row>
    <row r="13292" spans="25:26">
      <c r="Y13292" s="1354"/>
      <c r="Z13292" s="1060"/>
    </row>
    <row r="13293" spans="25:26">
      <c r="Y13293" s="1354"/>
      <c r="Z13293" s="1060"/>
    </row>
    <row r="13294" spans="25:26">
      <c r="Y13294" s="1354"/>
      <c r="Z13294" s="1060"/>
    </row>
    <row r="13295" spans="25:26">
      <c r="Y13295" s="1354"/>
      <c r="Z13295" s="1060"/>
    </row>
    <row r="13296" spans="25:26">
      <c r="Y13296" s="1354"/>
      <c r="Z13296" s="1060"/>
    </row>
    <row r="13297" spans="25:26">
      <c r="Y13297" s="1354"/>
      <c r="Z13297" s="1060"/>
    </row>
    <row r="13298" spans="25:26">
      <c r="Y13298" s="1354"/>
      <c r="Z13298" s="1060"/>
    </row>
    <row r="13299" spans="25:26">
      <c r="Y13299" s="1354"/>
      <c r="Z13299" s="1060"/>
    </row>
    <row r="13300" spans="25:26">
      <c r="Y13300" s="1354"/>
      <c r="Z13300" s="1060"/>
    </row>
    <row r="13301" spans="25:26">
      <c r="Y13301" s="1354"/>
      <c r="Z13301" s="1060"/>
    </row>
    <row r="13302" spans="25:26">
      <c r="Y13302" s="1354"/>
      <c r="Z13302" s="1060"/>
    </row>
    <row r="13303" spans="25:26">
      <c r="Y13303" s="1354"/>
      <c r="Z13303" s="1060"/>
    </row>
    <row r="13304" spans="25:26">
      <c r="Y13304" s="1354"/>
      <c r="Z13304" s="1060"/>
    </row>
    <row r="13305" spans="25:26">
      <c r="Y13305" s="1354"/>
      <c r="Z13305" s="1060"/>
    </row>
    <row r="13306" spans="25:26">
      <c r="Y13306" s="1354"/>
      <c r="Z13306" s="1060"/>
    </row>
    <row r="13307" spans="25:26">
      <c r="Y13307" s="1354"/>
      <c r="Z13307" s="1060"/>
    </row>
    <row r="13308" spans="25:26">
      <c r="Y13308" s="1354"/>
      <c r="Z13308" s="1060"/>
    </row>
    <row r="13309" spans="25:26">
      <c r="Y13309" s="1354"/>
      <c r="Z13309" s="1060"/>
    </row>
    <row r="13310" spans="25:26">
      <c r="Y13310" s="1354"/>
      <c r="Z13310" s="1060"/>
    </row>
    <row r="13311" spans="25:26">
      <c r="Y13311" s="1354"/>
      <c r="Z13311" s="1060"/>
    </row>
    <row r="13312" spans="25:26">
      <c r="Y13312" s="1354"/>
      <c r="Z13312" s="1060"/>
    </row>
    <row r="13313" spans="25:26">
      <c r="Y13313" s="1354"/>
      <c r="Z13313" s="1060"/>
    </row>
    <row r="13314" spans="25:26">
      <c r="Y13314" s="1354"/>
      <c r="Z13314" s="1060"/>
    </row>
    <row r="13315" spans="25:26">
      <c r="Y13315" s="1354"/>
      <c r="Z13315" s="1060"/>
    </row>
    <row r="13316" spans="25:26">
      <c r="Y13316" s="1354"/>
      <c r="Z13316" s="1060"/>
    </row>
    <row r="13317" spans="25:26">
      <c r="Y13317" s="1354"/>
      <c r="Z13317" s="1060"/>
    </row>
    <row r="13318" spans="25:26">
      <c r="Y13318" s="1354"/>
      <c r="Z13318" s="1060"/>
    </row>
    <row r="13319" spans="25:26">
      <c r="Y13319" s="1354"/>
      <c r="Z13319" s="1060"/>
    </row>
    <row r="13320" spans="25:26">
      <c r="Y13320" s="1354"/>
      <c r="Z13320" s="1060"/>
    </row>
    <row r="13321" spans="25:26">
      <c r="Y13321" s="1354"/>
      <c r="Z13321" s="1060"/>
    </row>
    <row r="13322" spans="25:26">
      <c r="Y13322" s="1354"/>
      <c r="Z13322" s="1060"/>
    </row>
    <row r="13323" spans="25:26">
      <c r="Y13323" s="1354"/>
      <c r="Z13323" s="1060"/>
    </row>
    <row r="13324" spans="25:26">
      <c r="Y13324" s="1354"/>
      <c r="Z13324" s="1060"/>
    </row>
    <row r="13325" spans="25:26">
      <c r="Y13325" s="1354"/>
      <c r="Z13325" s="1060"/>
    </row>
    <row r="13326" spans="25:26">
      <c r="Y13326" s="1354"/>
      <c r="Z13326" s="1060"/>
    </row>
    <row r="13327" spans="25:26">
      <c r="Y13327" s="1354"/>
      <c r="Z13327" s="1060"/>
    </row>
    <row r="13328" spans="25:26">
      <c r="Y13328" s="1354"/>
      <c r="Z13328" s="1060"/>
    </row>
    <row r="13329" spans="25:26">
      <c r="Y13329" s="1354"/>
      <c r="Z13329" s="1060"/>
    </row>
    <row r="13330" spans="25:26">
      <c r="Y13330" s="1354"/>
      <c r="Z13330" s="1060"/>
    </row>
    <row r="13331" spans="25:26">
      <c r="Y13331" s="1354"/>
      <c r="Z13331" s="1060"/>
    </row>
    <row r="13332" spans="25:26">
      <c r="Y13332" s="1354"/>
      <c r="Z13332" s="1060"/>
    </row>
    <row r="13333" spans="25:26">
      <c r="Y13333" s="1354"/>
      <c r="Z13333" s="1060"/>
    </row>
    <row r="13334" spans="25:26">
      <c r="Y13334" s="1354"/>
      <c r="Z13334" s="1060"/>
    </row>
    <row r="13335" spans="25:26">
      <c r="Y13335" s="1354"/>
      <c r="Z13335" s="1060"/>
    </row>
    <row r="13336" spans="25:26">
      <c r="Y13336" s="1354"/>
      <c r="Z13336" s="1060"/>
    </row>
    <row r="13337" spans="25:26">
      <c r="Y13337" s="1354"/>
      <c r="Z13337" s="1060"/>
    </row>
    <row r="13338" spans="25:26">
      <c r="Y13338" s="1354"/>
      <c r="Z13338" s="1060"/>
    </row>
    <row r="13339" spans="25:26">
      <c r="Y13339" s="1354"/>
      <c r="Z13339" s="1060"/>
    </row>
    <row r="13340" spans="25:26">
      <c r="Y13340" s="1354"/>
      <c r="Z13340" s="1060"/>
    </row>
    <row r="13341" spans="25:26">
      <c r="Y13341" s="1354"/>
      <c r="Z13341" s="1060"/>
    </row>
    <row r="13342" spans="25:26">
      <c r="Y13342" s="1354"/>
      <c r="Z13342" s="1060"/>
    </row>
    <row r="13343" spans="25:26">
      <c r="Y13343" s="1354"/>
      <c r="Z13343" s="1060"/>
    </row>
    <row r="13344" spans="25:26">
      <c r="Y13344" s="1354"/>
      <c r="Z13344" s="1060"/>
    </row>
    <row r="13345" spans="25:26">
      <c r="Y13345" s="1354"/>
      <c r="Z13345" s="1060"/>
    </row>
    <row r="13346" spans="25:26">
      <c r="Y13346" s="1354"/>
      <c r="Z13346" s="1060"/>
    </row>
    <row r="13347" spans="25:26">
      <c r="Y13347" s="1354"/>
      <c r="Z13347" s="1060"/>
    </row>
    <row r="13348" spans="25:26">
      <c r="Y13348" s="1354"/>
      <c r="Z13348" s="1060"/>
    </row>
    <row r="13349" spans="25:26">
      <c r="Y13349" s="1354"/>
      <c r="Z13349" s="1060"/>
    </row>
    <row r="13350" spans="25:26">
      <c r="Y13350" s="1354"/>
      <c r="Z13350" s="1060"/>
    </row>
    <row r="13351" spans="25:26">
      <c r="Y13351" s="1354"/>
      <c r="Z13351" s="1060"/>
    </row>
    <row r="13352" spans="25:26">
      <c r="Y13352" s="1354"/>
      <c r="Z13352" s="1060"/>
    </row>
    <row r="13353" spans="25:26">
      <c r="Y13353" s="1354"/>
      <c r="Z13353" s="1060"/>
    </row>
    <row r="13354" spans="25:26">
      <c r="Y13354" s="1354"/>
      <c r="Z13354" s="1060"/>
    </row>
    <row r="13355" spans="25:26">
      <c r="Y13355" s="1354"/>
      <c r="Z13355" s="1060"/>
    </row>
    <row r="13356" spans="25:26">
      <c r="Y13356" s="1354"/>
      <c r="Z13356" s="1060"/>
    </row>
    <row r="13357" spans="25:26">
      <c r="Y13357" s="1354"/>
      <c r="Z13357" s="1060"/>
    </row>
    <row r="13358" spans="25:26">
      <c r="Y13358" s="1354"/>
      <c r="Z13358" s="1060"/>
    </row>
    <row r="13359" spans="25:26">
      <c r="Y13359" s="1354"/>
      <c r="Z13359" s="1060"/>
    </row>
    <row r="13360" spans="25:26">
      <c r="Y13360" s="1354"/>
      <c r="Z13360" s="1060"/>
    </row>
    <row r="13361" spans="25:26">
      <c r="Y13361" s="1354"/>
      <c r="Z13361" s="1060"/>
    </row>
    <row r="13362" spans="25:26">
      <c r="Y13362" s="1354"/>
      <c r="Z13362" s="1060"/>
    </row>
    <row r="13363" spans="25:26">
      <c r="Y13363" s="1354"/>
      <c r="Z13363" s="1060"/>
    </row>
    <row r="13364" spans="25:26">
      <c r="Y13364" s="1354"/>
      <c r="Z13364" s="1060"/>
    </row>
    <row r="13365" spans="25:26">
      <c r="Y13365" s="1354"/>
      <c r="Z13365" s="1060"/>
    </row>
    <row r="13366" spans="25:26">
      <c r="Y13366" s="1354"/>
      <c r="Z13366" s="1060"/>
    </row>
    <row r="13367" spans="25:26">
      <c r="Y13367" s="1354"/>
      <c r="Z13367" s="1060"/>
    </row>
    <row r="13368" spans="25:26">
      <c r="Y13368" s="1354"/>
      <c r="Z13368" s="1060"/>
    </row>
    <row r="13369" spans="25:26">
      <c r="Y13369" s="1354"/>
      <c r="Z13369" s="1060"/>
    </row>
    <row r="13370" spans="25:26">
      <c r="Y13370" s="1354"/>
      <c r="Z13370" s="1060"/>
    </row>
    <row r="13371" spans="25:26">
      <c r="Y13371" s="1354"/>
      <c r="Z13371" s="1060"/>
    </row>
    <row r="13372" spans="25:26">
      <c r="Y13372" s="1354"/>
      <c r="Z13372" s="1060"/>
    </row>
    <row r="13373" spans="25:26">
      <c r="Y13373" s="1354"/>
      <c r="Z13373" s="1060"/>
    </row>
    <row r="13374" spans="25:26">
      <c r="Y13374" s="1354"/>
      <c r="Z13374" s="1060"/>
    </row>
    <row r="13375" spans="25:26">
      <c r="Y13375" s="1354"/>
      <c r="Z13375" s="1060"/>
    </row>
    <row r="13376" spans="25:26">
      <c r="Y13376" s="1354"/>
      <c r="Z13376" s="1060"/>
    </row>
    <row r="13377" spans="25:26">
      <c r="Y13377" s="1354"/>
      <c r="Z13377" s="1060"/>
    </row>
    <row r="13378" spans="25:26">
      <c r="Y13378" s="1354"/>
      <c r="Z13378" s="1060"/>
    </row>
    <row r="13379" spans="25:26">
      <c r="Y13379" s="1354"/>
      <c r="Z13379" s="1060"/>
    </row>
    <row r="13380" spans="25:26">
      <c r="Y13380" s="1354"/>
      <c r="Z13380" s="1060"/>
    </row>
    <row r="13381" spans="25:26">
      <c r="Y13381" s="1354"/>
      <c r="Z13381" s="1060"/>
    </row>
    <row r="13382" spans="25:26">
      <c r="Y13382" s="1354"/>
      <c r="Z13382" s="1060"/>
    </row>
    <row r="13383" spans="25:26">
      <c r="Y13383" s="1354"/>
      <c r="Z13383" s="1060"/>
    </row>
    <row r="13384" spans="25:26">
      <c r="Y13384" s="1354"/>
      <c r="Z13384" s="1060"/>
    </row>
    <row r="13385" spans="25:26">
      <c r="Y13385" s="1354"/>
      <c r="Z13385" s="1060"/>
    </row>
    <row r="13386" spans="25:26">
      <c r="Y13386" s="1354"/>
      <c r="Z13386" s="1060"/>
    </row>
    <row r="13387" spans="25:26">
      <c r="Y13387" s="1354"/>
      <c r="Z13387" s="1060"/>
    </row>
    <row r="13388" spans="25:26">
      <c r="Y13388" s="1354"/>
      <c r="Z13388" s="1060"/>
    </row>
    <row r="13389" spans="25:26">
      <c r="Y13389" s="1354"/>
      <c r="Z13389" s="1060"/>
    </row>
    <row r="13390" spans="25:26">
      <c r="Y13390" s="1354"/>
      <c r="Z13390" s="1060"/>
    </row>
    <row r="13391" spans="25:26">
      <c r="Y13391" s="1354"/>
      <c r="Z13391" s="1060"/>
    </row>
    <row r="13392" spans="25:26">
      <c r="Y13392" s="1354"/>
      <c r="Z13392" s="1060"/>
    </row>
    <row r="13393" spans="25:26">
      <c r="Y13393" s="1354"/>
      <c r="Z13393" s="1060"/>
    </row>
    <row r="13394" spans="25:26">
      <c r="Y13394" s="1354"/>
      <c r="Z13394" s="1060"/>
    </row>
    <row r="13395" spans="25:26">
      <c r="Y13395" s="1354"/>
      <c r="Z13395" s="1060"/>
    </row>
    <row r="13396" spans="25:26">
      <c r="Y13396" s="1354"/>
      <c r="Z13396" s="1060"/>
    </row>
    <row r="13397" spans="25:26">
      <c r="Y13397" s="1354"/>
      <c r="Z13397" s="1060"/>
    </row>
    <row r="13398" spans="25:26">
      <c r="Y13398" s="1354"/>
      <c r="Z13398" s="1060"/>
    </row>
    <row r="13399" spans="25:26">
      <c r="Y13399" s="1354"/>
      <c r="Z13399" s="1060"/>
    </row>
    <row r="13400" spans="25:26">
      <c r="Y13400" s="1354"/>
      <c r="Z13400" s="1060"/>
    </row>
    <row r="13401" spans="25:26">
      <c r="Y13401" s="1354"/>
      <c r="Z13401" s="1060"/>
    </row>
    <row r="13402" spans="25:26">
      <c r="Y13402" s="1354"/>
      <c r="Z13402" s="1060"/>
    </row>
    <row r="13403" spans="25:26">
      <c r="Y13403" s="1354"/>
      <c r="Z13403" s="1060"/>
    </row>
    <row r="13404" spans="25:26">
      <c r="Y13404" s="1354"/>
      <c r="Z13404" s="1060"/>
    </row>
    <row r="13405" spans="25:26">
      <c r="Y13405" s="1354"/>
      <c r="Z13405" s="1060"/>
    </row>
    <row r="13406" spans="25:26">
      <c r="Y13406" s="1354"/>
      <c r="Z13406" s="1060"/>
    </row>
    <row r="13407" spans="25:26">
      <c r="Y13407" s="1354"/>
      <c r="Z13407" s="1060"/>
    </row>
    <row r="13408" spans="25:26">
      <c r="Y13408" s="1354"/>
      <c r="Z13408" s="1060"/>
    </row>
    <row r="13409" spans="25:26">
      <c r="Y13409" s="1354"/>
      <c r="Z13409" s="1060"/>
    </row>
    <row r="13410" spans="25:26">
      <c r="Y13410" s="1354"/>
      <c r="Z13410" s="1060"/>
    </row>
    <row r="13411" spans="25:26">
      <c r="Y13411" s="1354"/>
      <c r="Z13411" s="1060"/>
    </row>
    <row r="13412" spans="25:26">
      <c r="Y13412" s="1354"/>
      <c r="Z13412" s="1060"/>
    </row>
    <row r="13413" spans="25:26">
      <c r="Y13413" s="1354"/>
      <c r="Z13413" s="1060"/>
    </row>
    <row r="13414" spans="25:26">
      <c r="Y13414" s="1354"/>
      <c r="Z13414" s="1060"/>
    </row>
    <row r="13415" spans="25:26">
      <c r="Y13415" s="1354"/>
      <c r="Z13415" s="1060"/>
    </row>
    <row r="13416" spans="25:26">
      <c r="Y13416" s="1354"/>
      <c r="Z13416" s="1060"/>
    </row>
    <row r="13417" spans="25:26">
      <c r="Y13417" s="1354"/>
      <c r="Z13417" s="1060"/>
    </row>
    <row r="13418" spans="25:26">
      <c r="Y13418" s="1354"/>
      <c r="Z13418" s="1060"/>
    </row>
    <row r="13419" spans="25:26">
      <c r="Y13419" s="1354"/>
      <c r="Z13419" s="1060"/>
    </row>
    <row r="13420" spans="25:26">
      <c r="Y13420" s="1354"/>
      <c r="Z13420" s="1060"/>
    </row>
    <row r="13421" spans="25:26">
      <c r="Y13421" s="1354"/>
      <c r="Z13421" s="1060"/>
    </row>
    <row r="13422" spans="25:26">
      <c r="Y13422" s="1354"/>
      <c r="Z13422" s="1060"/>
    </row>
    <row r="13423" spans="25:26">
      <c r="Y13423" s="1354"/>
      <c r="Z13423" s="1060"/>
    </row>
    <row r="13424" spans="25:26">
      <c r="Y13424" s="1354"/>
      <c r="Z13424" s="1060"/>
    </row>
    <row r="13425" spans="25:26">
      <c r="Y13425" s="1354"/>
      <c r="Z13425" s="1060"/>
    </row>
    <row r="13426" spans="25:26">
      <c r="Y13426" s="1354"/>
      <c r="Z13426" s="1060"/>
    </row>
    <row r="13427" spans="25:26">
      <c r="Y13427" s="1354"/>
      <c r="Z13427" s="1060"/>
    </row>
    <row r="13428" spans="25:26">
      <c r="Y13428" s="1354"/>
      <c r="Z13428" s="1060"/>
    </row>
    <row r="13429" spans="25:26">
      <c r="Y13429" s="1354"/>
      <c r="Z13429" s="1060"/>
    </row>
    <row r="13430" spans="25:26">
      <c r="Y13430" s="1354"/>
      <c r="Z13430" s="1060"/>
    </row>
    <row r="13431" spans="25:26">
      <c r="Y13431" s="1354"/>
      <c r="Z13431" s="1060"/>
    </row>
    <row r="13432" spans="25:26">
      <c r="Y13432" s="1354"/>
      <c r="Z13432" s="1060"/>
    </row>
    <row r="13433" spans="25:26">
      <c r="Y13433" s="1354"/>
      <c r="Z13433" s="1060"/>
    </row>
    <row r="13434" spans="25:26">
      <c r="Y13434" s="1354"/>
      <c r="Z13434" s="1060"/>
    </row>
    <row r="13435" spans="25:26">
      <c r="Y13435" s="1354"/>
      <c r="Z13435" s="1060"/>
    </row>
    <row r="13436" spans="25:26">
      <c r="Y13436" s="1354"/>
      <c r="Z13436" s="1060"/>
    </row>
    <row r="13437" spans="25:26">
      <c r="Y13437" s="1354"/>
      <c r="Z13437" s="1060"/>
    </row>
    <row r="13438" spans="25:26">
      <c r="Y13438" s="1354"/>
      <c r="Z13438" s="1060"/>
    </row>
    <row r="13439" spans="25:26">
      <c r="Y13439" s="1354"/>
      <c r="Z13439" s="1060"/>
    </row>
    <row r="13440" spans="25:26">
      <c r="Y13440" s="1354"/>
      <c r="Z13440" s="1060"/>
    </row>
    <row r="13441" spans="25:26">
      <c r="Y13441" s="1354"/>
      <c r="Z13441" s="1060"/>
    </row>
    <row r="13442" spans="25:26">
      <c r="Y13442" s="1354"/>
      <c r="Z13442" s="1060"/>
    </row>
    <row r="13443" spans="25:26">
      <c r="Y13443" s="1354"/>
      <c r="Z13443" s="1060"/>
    </row>
    <row r="13444" spans="25:26">
      <c r="Y13444" s="1354"/>
      <c r="Z13444" s="1060"/>
    </row>
    <row r="13445" spans="25:26">
      <c r="Y13445" s="1354"/>
      <c r="Z13445" s="1060"/>
    </row>
    <row r="13446" spans="25:26">
      <c r="Y13446" s="1354"/>
      <c r="Z13446" s="1060"/>
    </row>
    <row r="13447" spans="25:26">
      <c r="Y13447" s="1354"/>
      <c r="Z13447" s="1060"/>
    </row>
    <row r="13448" spans="25:26">
      <c r="Y13448" s="1354"/>
      <c r="Z13448" s="1060"/>
    </row>
    <row r="13449" spans="25:26">
      <c r="Y13449" s="1354"/>
      <c r="Z13449" s="1060"/>
    </row>
    <row r="13450" spans="25:26">
      <c r="Y13450" s="1354"/>
      <c r="Z13450" s="1060"/>
    </row>
    <row r="13451" spans="25:26">
      <c r="Y13451" s="1354"/>
      <c r="Z13451" s="1060"/>
    </row>
    <row r="13452" spans="25:26">
      <c r="Y13452" s="1354"/>
      <c r="Z13452" s="1060"/>
    </row>
    <row r="13453" spans="25:26">
      <c r="Y13453" s="1354"/>
      <c r="Z13453" s="1060"/>
    </row>
    <row r="13454" spans="25:26">
      <c r="Y13454" s="1354"/>
      <c r="Z13454" s="1060"/>
    </row>
    <row r="13455" spans="25:26">
      <c r="Y13455" s="1354"/>
      <c r="Z13455" s="1060"/>
    </row>
    <row r="13456" spans="25:26">
      <c r="Y13456" s="1354"/>
      <c r="Z13456" s="1060"/>
    </row>
    <row r="13457" spans="25:26">
      <c r="Y13457" s="1354"/>
      <c r="Z13457" s="1060"/>
    </row>
    <row r="13458" spans="25:26">
      <c r="Y13458" s="1354"/>
      <c r="Z13458" s="1060"/>
    </row>
    <row r="13459" spans="25:26">
      <c r="Y13459" s="1354"/>
      <c r="Z13459" s="1060"/>
    </row>
    <row r="13460" spans="25:26">
      <c r="Y13460" s="1354"/>
      <c r="Z13460" s="1060"/>
    </row>
    <row r="13461" spans="25:26">
      <c r="Y13461" s="1354"/>
      <c r="Z13461" s="1060"/>
    </row>
    <row r="13462" spans="25:26">
      <c r="Y13462" s="1354"/>
      <c r="Z13462" s="1060"/>
    </row>
    <row r="13463" spans="25:26">
      <c r="Y13463" s="1354"/>
      <c r="Z13463" s="1060"/>
    </row>
    <row r="13464" spans="25:26">
      <c r="Y13464" s="1354"/>
      <c r="Z13464" s="1060"/>
    </row>
    <row r="13465" spans="25:26">
      <c r="Y13465" s="1354"/>
      <c r="Z13465" s="1060"/>
    </row>
    <row r="13466" spans="25:26">
      <c r="Y13466" s="1354"/>
      <c r="Z13466" s="1060"/>
    </row>
    <row r="13467" spans="25:26">
      <c r="Y13467" s="1354"/>
      <c r="Z13467" s="1060"/>
    </row>
    <row r="13468" spans="25:26">
      <c r="Y13468" s="1354"/>
      <c r="Z13468" s="1060"/>
    </row>
    <row r="13469" spans="25:26">
      <c r="Y13469" s="1354"/>
      <c r="Z13469" s="1060"/>
    </row>
    <row r="13470" spans="25:26">
      <c r="Y13470" s="1354"/>
      <c r="Z13470" s="1060"/>
    </row>
    <row r="13471" spans="25:26">
      <c r="Y13471" s="1354"/>
      <c r="Z13471" s="1060"/>
    </row>
    <row r="13472" spans="25:26">
      <c r="Y13472" s="1354"/>
      <c r="Z13472" s="1060"/>
    </row>
    <row r="13473" spans="25:26">
      <c r="Y13473" s="1354"/>
      <c r="Z13473" s="1060"/>
    </row>
    <row r="13474" spans="25:26">
      <c r="Y13474" s="1354"/>
      <c r="Z13474" s="1060"/>
    </row>
    <row r="13475" spans="25:26">
      <c r="Y13475" s="1354"/>
      <c r="Z13475" s="1060"/>
    </row>
    <row r="13476" spans="25:26">
      <c r="Y13476" s="1354"/>
      <c r="Z13476" s="1060"/>
    </row>
    <row r="13477" spans="25:26">
      <c r="Y13477" s="1354"/>
      <c r="Z13477" s="1060"/>
    </row>
    <row r="13478" spans="25:26">
      <c r="Y13478" s="1354"/>
      <c r="Z13478" s="1060"/>
    </row>
    <row r="13479" spans="25:26">
      <c r="Y13479" s="1354"/>
      <c r="Z13479" s="1060"/>
    </row>
    <row r="13480" spans="25:26">
      <c r="Y13480" s="1354"/>
      <c r="Z13480" s="1060"/>
    </row>
    <row r="13481" spans="25:26">
      <c r="Y13481" s="1354"/>
      <c r="Z13481" s="1060"/>
    </row>
    <row r="13482" spans="25:26">
      <c r="Y13482" s="1354"/>
      <c r="Z13482" s="1060"/>
    </row>
    <row r="13483" spans="25:26">
      <c r="Y13483" s="1354"/>
      <c r="Z13483" s="1060"/>
    </row>
    <row r="13484" spans="25:26">
      <c r="Y13484" s="1354"/>
      <c r="Z13484" s="1060"/>
    </row>
    <row r="13485" spans="25:26">
      <c r="Y13485" s="1354"/>
      <c r="Z13485" s="1060"/>
    </row>
    <row r="13486" spans="25:26">
      <c r="Y13486" s="1354"/>
      <c r="Z13486" s="1060"/>
    </row>
    <row r="13487" spans="25:26">
      <c r="Y13487" s="1354"/>
      <c r="Z13487" s="1060"/>
    </row>
    <row r="13488" spans="25:26">
      <c r="Y13488" s="1354"/>
      <c r="Z13488" s="1060"/>
    </row>
    <row r="13489" spans="25:26">
      <c r="Y13489" s="1354"/>
      <c r="Z13489" s="1060"/>
    </row>
    <row r="13490" spans="25:26">
      <c r="Y13490" s="1354"/>
      <c r="Z13490" s="1060"/>
    </row>
    <row r="13491" spans="25:26">
      <c r="Y13491" s="1354"/>
      <c r="Z13491" s="1060"/>
    </row>
    <row r="13492" spans="25:26">
      <c r="Y13492" s="1354"/>
      <c r="Z13492" s="1060"/>
    </row>
    <row r="13493" spans="25:26">
      <c r="Y13493" s="1354"/>
      <c r="Z13493" s="1060"/>
    </row>
    <row r="13494" spans="25:26">
      <c r="Y13494" s="1354"/>
      <c r="Z13494" s="1060"/>
    </row>
    <row r="13495" spans="25:26">
      <c r="Y13495" s="1354"/>
      <c r="Z13495" s="1060"/>
    </row>
    <row r="13496" spans="25:26">
      <c r="Y13496" s="1354"/>
      <c r="Z13496" s="1060"/>
    </row>
    <row r="13497" spans="25:26">
      <c r="Y13497" s="1354"/>
      <c r="Z13497" s="1060"/>
    </row>
    <row r="13498" spans="25:26">
      <c r="Y13498" s="1354"/>
      <c r="Z13498" s="1060"/>
    </row>
    <row r="13499" spans="25:26">
      <c r="Y13499" s="1354"/>
      <c r="Z13499" s="1060"/>
    </row>
    <row r="13500" spans="25:26">
      <c r="Y13500" s="1354"/>
      <c r="Z13500" s="1060"/>
    </row>
    <row r="13501" spans="25:26">
      <c r="Y13501" s="1354"/>
      <c r="Z13501" s="1060"/>
    </row>
    <row r="13502" spans="25:26">
      <c r="Y13502" s="1354"/>
      <c r="Z13502" s="1060"/>
    </row>
    <row r="13503" spans="25:26">
      <c r="Y13503" s="1354"/>
      <c r="Z13503" s="1060"/>
    </row>
    <row r="13504" spans="25:26">
      <c r="Y13504" s="1354"/>
      <c r="Z13504" s="1060"/>
    </row>
    <row r="13505" spans="25:26">
      <c r="Y13505" s="1354"/>
      <c r="Z13505" s="1060"/>
    </row>
    <row r="13506" spans="25:26">
      <c r="Y13506" s="1354"/>
      <c r="Z13506" s="1060"/>
    </row>
    <row r="13507" spans="25:26">
      <c r="Y13507" s="1354"/>
      <c r="Z13507" s="1060"/>
    </row>
    <row r="13508" spans="25:26">
      <c r="Y13508" s="1354"/>
      <c r="Z13508" s="1060"/>
    </row>
    <row r="13509" spans="25:26">
      <c r="Y13509" s="1354"/>
      <c r="Z13509" s="1060"/>
    </row>
    <row r="13510" spans="25:26">
      <c r="Y13510" s="1354"/>
      <c r="Z13510" s="1060"/>
    </row>
    <row r="13511" spans="25:26">
      <c r="Y13511" s="1354"/>
      <c r="Z13511" s="1060"/>
    </row>
    <row r="13512" spans="25:26">
      <c r="Y13512" s="1354"/>
      <c r="Z13512" s="1060"/>
    </row>
    <row r="13513" spans="25:26">
      <c r="Y13513" s="1354"/>
      <c r="Z13513" s="1060"/>
    </row>
    <row r="13514" spans="25:26">
      <c r="Y13514" s="1354"/>
      <c r="Z13514" s="1060"/>
    </row>
    <row r="13515" spans="25:26">
      <c r="Y13515" s="1354"/>
      <c r="Z13515" s="1060"/>
    </row>
    <row r="13516" spans="25:26">
      <c r="Y13516" s="1354"/>
      <c r="Z13516" s="1060"/>
    </row>
    <row r="13517" spans="25:26">
      <c r="Y13517" s="1354"/>
      <c r="Z13517" s="1060"/>
    </row>
    <row r="13518" spans="25:26">
      <c r="Y13518" s="1354"/>
      <c r="Z13518" s="1060"/>
    </row>
    <row r="13519" spans="25:26">
      <c r="Y13519" s="1354"/>
      <c r="Z13519" s="1060"/>
    </row>
    <row r="13520" spans="25:26">
      <c r="Y13520" s="1354"/>
      <c r="Z13520" s="1060"/>
    </row>
    <row r="13521" spans="25:26">
      <c r="Y13521" s="1354"/>
      <c r="Z13521" s="1060"/>
    </row>
    <row r="13522" spans="25:26">
      <c r="Y13522" s="1354"/>
      <c r="Z13522" s="1060"/>
    </row>
    <row r="13523" spans="25:26">
      <c r="Y13523" s="1354"/>
      <c r="Z13523" s="1060"/>
    </row>
    <row r="13524" spans="25:26">
      <c r="Y13524" s="1354"/>
      <c r="Z13524" s="1060"/>
    </row>
    <row r="13525" spans="25:26">
      <c r="Y13525" s="1354"/>
      <c r="Z13525" s="1060"/>
    </row>
    <row r="13526" spans="25:26">
      <c r="Y13526" s="1354"/>
      <c r="Z13526" s="1060"/>
    </row>
    <row r="13527" spans="25:26">
      <c r="Y13527" s="1354"/>
      <c r="Z13527" s="1060"/>
    </row>
    <row r="13528" spans="25:26">
      <c r="Y13528" s="1354"/>
      <c r="Z13528" s="1060"/>
    </row>
    <row r="13529" spans="25:26">
      <c r="Y13529" s="1354"/>
      <c r="Z13529" s="1060"/>
    </row>
    <row r="13530" spans="25:26">
      <c r="Y13530" s="1354"/>
      <c r="Z13530" s="1060"/>
    </row>
    <row r="13531" spans="25:26">
      <c r="Y13531" s="1354"/>
      <c r="Z13531" s="1060"/>
    </row>
    <row r="13532" spans="25:26">
      <c r="Y13532" s="1354"/>
      <c r="Z13532" s="1060"/>
    </row>
    <row r="13533" spans="25:26">
      <c r="Y13533" s="1354"/>
      <c r="Z13533" s="1060"/>
    </row>
    <row r="13534" spans="25:26">
      <c r="Y13534" s="1354"/>
      <c r="Z13534" s="1060"/>
    </row>
    <row r="13535" spans="25:26">
      <c r="Y13535" s="1354"/>
      <c r="Z13535" s="1060"/>
    </row>
    <row r="13536" spans="25:26">
      <c r="Y13536" s="1354"/>
      <c r="Z13536" s="1060"/>
    </row>
    <row r="13537" spans="25:26">
      <c r="Y13537" s="1354"/>
      <c r="Z13537" s="1060"/>
    </row>
    <row r="13538" spans="25:26">
      <c r="Y13538" s="1354"/>
      <c r="Z13538" s="1060"/>
    </row>
    <row r="13539" spans="25:26">
      <c r="Y13539" s="1354"/>
      <c r="Z13539" s="1060"/>
    </row>
    <row r="13540" spans="25:26">
      <c r="Y13540" s="1354"/>
      <c r="Z13540" s="1060"/>
    </row>
    <row r="13541" spans="25:26">
      <c r="Y13541" s="1354"/>
      <c r="Z13541" s="1060"/>
    </row>
    <row r="13542" spans="25:26">
      <c r="Y13542" s="1354"/>
      <c r="Z13542" s="1060"/>
    </row>
    <row r="13543" spans="25:26">
      <c r="Y13543" s="1354"/>
      <c r="Z13543" s="1060"/>
    </row>
    <row r="13544" spans="25:26">
      <c r="Y13544" s="1354"/>
      <c r="Z13544" s="1060"/>
    </row>
    <row r="13545" spans="25:26">
      <c r="Y13545" s="1354"/>
      <c r="Z13545" s="1060"/>
    </row>
    <row r="13546" spans="25:26">
      <c r="Y13546" s="1354"/>
      <c r="Z13546" s="1060"/>
    </row>
    <row r="13547" spans="25:26">
      <c r="Y13547" s="1354"/>
      <c r="Z13547" s="1060"/>
    </row>
    <row r="13548" spans="25:26">
      <c r="Y13548" s="1354"/>
      <c r="Z13548" s="1060"/>
    </row>
    <row r="13549" spans="25:26">
      <c r="Y13549" s="1354"/>
      <c r="Z13549" s="1060"/>
    </row>
    <row r="13550" spans="25:26">
      <c r="Y13550" s="1354"/>
      <c r="Z13550" s="1060"/>
    </row>
    <row r="13551" spans="25:26">
      <c r="Y13551" s="1354"/>
      <c r="Z13551" s="1060"/>
    </row>
    <row r="13552" spans="25:26">
      <c r="Y13552" s="1354"/>
      <c r="Z13552" s="1060"/>
    </row>
    <row r="13553" spans="25:26">
      <c r="Y13553" s="1354"/>
      <c r="Z13553" s="1060"/>
    </row>
    <row r="13554" spans="25:26">
      <c r="Y13554" s="1354"/>
      <c r="Z13554" s="1060"/>
    </row>
    <row r="13555" spans="25:26">
      <c r="Y13555" s="1354"/>
      <c r="Z13555" s="1060"/>
    </row>
    <row r="13556" spans="25:26">
      <c r="Y13556" s="1354"/>
      <c r="Z13556" s="1060"/>
    </row>
    <row r="13557" spans="25:26">
      <c r="Y13557" s="1354"/>
      <c r="Z13557" s="1060"/>
    </row>
    <row r="13558" spans="25:26">
      <c r="Y13558" s="1354"/>
      <c r="Z13558" s="1060"/>
    </row>
    <row r="13559" spans="25:26">
      <c r="Y13559" s="1354"/>
      <c r="Z13559" s="1060"/>
    </row>
    <row r="13560" spans="25:26">
      <c r="Y13560" s="1354"/>
      <c r="Z13560" s="1060"/>
    </row>
    <row r="13561" spans="25:26">
      <c r="Y13561" s="1354"/>
      <c r="Z13561" s="1060"/>
    </row>
    <row r="13562" spans="25:26">
      <c r="Y13562" s="1354"/>
      <c r="Z13562" s="1060"/>
    </row>
    <row r="13563" spans="25:26">
      <c r="Y13563" s="1354"/>
      <c r="Z13563" s="1060"/>
    </row>
    <row r="13564" spans="25:26">
      <c r="Y13564" s="1354"/>
      <c r="Z13564" s="1060"/>
    </row>
    <row r="13565" spans="25:26">
      <c r="Y13565" s="1354"/>
      <c r="Z13565" s="1060"/>
    </row>
    <row r="13566" spans="25:26">
      <c r="Y13566" s="1354"/>
      <c r="Z13566" s="1060"/>
    </row>
    <row r="13567" spans="25:26">
      <c r="Y13567" s="1354"/>
      <c r="Z13567" s="1060"/>
    </row>
    <row r="13568" spans="25:26">
      <c r="Y13568" s="1354"/>
      <c r="Z13568" s="1060"/>
    </row>
    <row r="13569" spans="25:26">
      <c r="Y13569" s="1354"/>
      <c r="Z13569" s="1060"/>
    </row>
    <row r="13570" spans="25:26">
      <c r="Y13570" s="1354"/>
      <c r="Z13570" s="1060"/>
    </row>
    <row r="13571" spans="25:26">
      <c r="Y13571" s="1354"/>
      <c r="Z13571" s="1060"/>
    </row>
    <row r="13572" spans="25:26">
      <c r="Y13572" s="1354"/>
      <c r="Z13572" s="1060"/>
    </row>
    <row r="13573" spans="25:26">
      <c r="Y13573" s="1354"/>
      <c r="Z13573" s="1060"/>
    </row>
    <row r="13574" spans="25:26">
      <c r="Y13574" s="1354"/>
      <c r="Z13574" s="1060"/>
    </row>
    <row r="13575" spans="25:26">
      <c r="Y13575" s="1354"/>
      <c r="Z13575" s="1060"/>
    </row>
    <row r="13576" spans="25:26">
      <c r="Y13576" s="1354"/>
      <c r="Z13576" s="1060"/>
    </row>
    <row r="13577" spans="25:26">
      <c r="Y13577" s="1354"/>
      <c r="Z13577" s="1060"/>
    </row>
    <row r="13578" spans="25:26">
      <c r="Y13578" s="1354"/>
      <c r="Z13578" s="1060"/>
    </row>
    <row r="13579" spans="25:26">
      <c r="Y13579" s="1354"/>
      <c r="Z13579" s="1060"/>
    </row>
    <row r="13580" spans="25:26">
      <c r="Y13580" s="1354"/>
      <c r="Z13580" s="1060"/>
    </row>
    <row r="13581" spans="25:26">
      <c r="Y13581" s="1354"/>
      <c r="Z13581" s="1060"/>
    </row>
    <row r="13582" spans="25:26">
      <c r="Y13582" s="1354"/>
      <c r="Z13582" s="1060"/>
    </row>
    <row r="13583" spans="25:26">
      <c r="Y13583" s="1354"/>
      <c r="Z13583" s="1060"/>
    </row>
    <row r="13584" spans="25:26">
      <c r="Y13584" s="1354"/>
      <c r="Z13584" s="1060"/>
    </row>
    <row r="13585" spans="25:26">
      <c r="Y13585" s="1354"/>
      <c r="Z13585" s="1060"/>
    </row>
    <row r="13586" spans="25:26">
      <c r="Y13586" s="1354"/>
      <c r="Z13586" s="1060"/>
    </row>
    <row r="13587" spans="25:26">
      <c r="Y13587" s="1354"/>
      <c r="Z13587" s="1060"/>
    </row>
    <row r="13588" spans="25:26">
      <c r="Y13588" s="1354"/>
      <c r="Z13588" s="1060"/>
    </row>
    <row r="13589" spans="25:26">
      <c r="Y13589" s="1354"/>
      <c r="Z13589" s="1060"/>
    </row>
    <row r="13590" spans="25:26">
      <c r="Y13590" s="1354"/>
      <c r="Z13590" s="1060"/>
    </row>
    <row r="13591" spans="25:26">
      <c r="Y13591" s="1354"/>
      <c r="Z13591" s="1060"/>
    </row>
    <row r="13592" spans="25:26">
      <c r="Y13592" s="1354"/>
      <c r="Z13592" s="1060"/>
    </row>
    <row r="13593" spans="25:26">
      <c r="Y13593" s="1354"/>
      <c r="Z13593" s="1060"/>
    </row>
    <row r="13594" spans="25:26">
      <c r="Y13594" s="1354"/>
      <c r="Z13594" s="1060"/>
    </row>
    <row r="13595" spans="25:26">
      <c r="Y13595" s="1354"/>
      <c r="Z13595" s="1060"/>
    </row>
    <row r="13596" spans="25:26">
      <c r="Y13596" s="1354"/>
      <c r="Z13596" s="1060"/>
    </row>
    <row r="13597" spans="25:26">
      <c r="Y13597" s="1354"/>
      <c r="Z13597" s="1060"/>
    </row>
    <row r="13598" spans="25:26">
      <c r="Y13598" s="1354"/>
      <c r="Z13598" s="1060"/>
    </row>
    <row r="13599" spans="25:26">
      <c r="Y13599" s="1354"/>
      <c r="Z13599" s="1060"/>
    </row>
    <row r="13600" spans="25:26">
      <c r="Y13600" s="1354"/>
      <c r="Z13600" s="1060"/>
    </row>
    <row r="13601" spans="25:26">
      <c r="Y13601" s="1354"/>
      <c r="Z13601" s="1060"/>
    </row>
    <row r="13602" spans="25:26">
      <c r="Y13602" s="1354"/>
      <c r="Z13602" s="1060"/>
    </row>
    <row r="13603" spans="25:26">
      <c r="Y13603" s="1354"/>
      <c r="Z13603" s="1060"/>
    </row>
    <row r="13604" spans="25:26">
      <c r="Y13604" s="1354"/>
      <c r="Z13604" s="1060"/>
    </row>
    <row r="13605" spans="25:26">
      <c r="Y13605" s="1354"/>
      <c r="Z13605" s="1060"/>
    </row>
    <row r="13606" spans="25:26">
      <c r="Y13606" s="1354"/>
      <c r="Z13606" s="1060"/>
    </row>
    <row r="13607" spans="25:26">
      <c r="Y13607" s="1354"/>
      <c r="Z13607" s="1060"/>
    </row>
    <row r="13608" spans="25:26">
      <c r="Y13608" s="1354"/>
      <c r="Z13608" s="1060"/>
    </row>
    <row r="13609" spans="25:26">
      <c r="Y13609" s="1354"/>
      <c r="Z13609" s="1060"/>
    </row>
    <row r="13610" spans="25:26">
      <c r="Y13610" s="1354"/>
      <c r="Z13610" s="1060"/>
    </row>
    <row r="13611" spans="25:26">
      <c r="Y13611" s="1354"/>
      <c r="Z13611" s="1060"/>
    </row>
    <row r="13612" spans="25:26">
      <c r="Y13612" s="1354"/>
      <c r="Z13612" s="1060"/>
    </row>
    <row r="13613" spans="25:26">
      <c r="Y13613" s="1354"/>
      <c r="Z13613" s="1060"/>
    </row>
    <row r="13614" spans="25:26">
      <c r="Y13614" s="1354"/>
      <c r="Z13614" s="1060"/>
    </row>
    <row r="13615" spans="25:26">
      <c r="Y13615" s="1354"/>
      <c r="Z13615" s="1060"/>
    </row>
    <row r="13616" spans="25:26">
      <c r="Y13616" s="1354"/>
      <c r="Z13616" s="1060"/>
    </row>
    <row r="13617" spans="25:26">
      <c r="Y13617" s="1354"/>
      <c r="Z13617" s="1060"/>
    </row>
    <row r="13618" spans="25:26">
      <c r="Y13618" s="1354"/>
      <c r="Z13618" s="1060"/>
    </row>
    <row r="13619" spans="25:26">
      <c r="Y13619" s="1354"/>
      <c r="Z13619" s="1060"/>
    </row>
    <row r="13620" spans="25:26">
      <c r="Y13620" s="1354"/>
      <c r="Z13620" s="1060"/>
    </row>
    <row r="13621" spans="25:26">
      <c r="Y13621" s="1354"/>
      <c r="Z13621" s="1060"/>
    </row>
    <row r="13622" spans="25:26">
      <c r="Y13622" s="1354"/>
      <c r="Z13622" s="1060"/>
    </row>
    <row r="13623" spans="25:26">
      <c r="Y13623" s="1354"/>
      <c r="Z13623" s="1060"/>
    </row>
    <row r="13624" spans="25:26">
      <c r="Y13624" s="1354"/>
      <c r="Z13624" s="1060"/>
    </row>
    <row r="13625" spans="25:26">
      <c r="Y13625" s="1354"/>
      <c r="Z13625" s="1060"/>
    </row>
    <row r="13626" spans="25:26">
      <c r="Y13626" s="1354"/>
      <c r="Z13626" s="1060"/>
    </row>
    <row r="13627" spans="25:26">
      <c r="Y13627" s="1354"/>
      <c r="Z13627" s="1060"/>
    </row>
    <row r="13628" spans="25:26">
      <c r="Y13628" s="1354"/>
      <c r="Z13628" s="1060"/>
    </row>
    <row r="13629" spans="25:26">
      <c r="Y13629" s="1354"/>
      <c r="Z13629" s="1060"/>
    </row>
    <row r="13630" spans="25:26">
      <c r="Y13630" s="1354"/>
      <c r="Z13630" s="1060"/>
    </row>
    <row r="13631" spans="25:26">
      <c r="Y13631" s="1354"/>
      <c r="Z13631" s="1060"/>
    </row>
    <row r="13632" spans="25:26">
      <c r="Y13632" s="1354"/>
      <c r="Z13632" s="1060"/>
    </row>
    <row r="13633" spans="25:26">
      <c r="Y13633" s="1354"/>
      <c r="Z13633" s="1060"/>
    </row>
    <row r="13634" spans="25:26">
      <c r="Y13634" s="1354"/>
      <c r="Z13634" s="1060"/>
    </row>
    <row r="13635" spans="25:26">
      <c r="Y13635" s="1354"/>
      <c r="Z13635" s="1060"/>
    </row>
    <row r="13636" spans="25:26">
      <c r="Y13636" s="1354"/>
      <c r="Z13636" s="1060"/>
    </row>
    <row r="13637" spans="25:26">
      <c r="Y13637" s="1354"/>
      <c r="Z13637" s="1060"/>
    </row>
    <row r="13638" spans="25:26">
      <c r="Y13638" s="1354"/>
      <c r="Z13638" s="1060"/>
    </row>
    <row r="13639" spans="25:26">
      <c r="Y13639" s="1354"/>
      <c r="Z13639" s="1060"/>
    </row>
    <row r="13640" spans="25:26">
      <c r="Y13640" s="1354"/>
      <c r="Z13640" s="1060"/>
    </row>
    <row r="13641" spans="25:26">
      <c r="Y13641" s="1354"/>
      <c r="Z13641" s="1060"/>
    </row>
    <row r="13642" spans="25:26">
      <c r="Y13642" s="1354"/>
      <c r="Z13642" s="1060"/>
    </row>
    <row r="13643" spans="25:26">
      <c r="Y13643" s="1354"/>
      <c r="Z13643" s="1060"/>
    </row>
    <row r="13644" spans="25:26">
      <c r="Y13644" s="1354"/>
      <c r="Z13644" s="1060"/>
    </row>
    <row r="13645" spans="25:26">
      <c r="Y13645" s="1354"/>
      <c r="Z13645" s="1060"/>
    </row>
    <row r="13646" spans="25:26">
      <c r="Y13646" s="1354"/>
      <c r="Z13646" s="1060"/>
    </row>
    <row r="13647" spans="25:26">
      <c r="Y13647" s="1354"/>
      <c r="Z13647" s="1060"/>
    </row>
    <row r="13648" spans="25:26">
      <c r="Y13648" s="1354"/>
      <c r="Z13648" s="1060"/>
    </row>
    <row r="13649" spans="25:26">
      <c r="Y13649" s="1354"/>
      <c r="Z13649" s="1060"/>
    </row>
    <row r="13650" spans="25:26">
      <c r="Y13650" s="1354"/>
      <c r="Z13650" s="1060"/>
    </row>
    <row r="13651" spans="25:26">
      <c r="Y13651" s="1354"/>
      <c r="Z13651" s="1060"/>
    </row>
    <row r="13652" spans="25:26">
      <c r="Y13652" s="1354"/>
      <c r="Z13652" s="1060"/>
    </row>
    <row r="13653" spans="25:26">
      <c r="Y13653" s="1354"/>
      <c r="Z13653" s="1060"/>
    </row>
    <row r="13654" spans="25:26">
      <c r="Y13654" s="1354"/>
      <c r="Z13654" s="1060"/>
    </row>
    <row r="13655" spans="25:26">
      <c r="Y13655" s="1354"/>
      <c r="Z13655" s="1060"/>
    </row>
    <row r="13656" spans="25:26">
      <c r="Y13656" s="1354"/>
      <c r="Z13656" s="1060"/>
    </row>
    <row r="13657" spans="25:26">
      <c r="Y13657" s="1354"/>
      <c r="Z13657" s="1060"/>
    </row>
    <row r="13658" spans="25:26">
      <c r="Y13658" s="1354"/>
      <c r="Z13658" s="1060"/>
    </row>
    <row r="13659" spans="25:26">
      <c r="Y13659" s="1354"/>
      <c r="Z13659" s="1060"/>
    </row>
    <row r="13660" spans="25:26">
      <c r="Y13660" s="1354"/>
      <c r="Z13660" s="1060"/>
    </row>
    <row r="13661" spans="25:26">
      <c r="Y13661" s="1354"/>
      <c r="Z13661" s="1060"/>
    </row>
    <row r="13662" spans="25:26">
      <c r="Y13662" s="1354"/>
      <c r="Z13662" s="1060"/>
    </row>
    <row r="13663" spans="25:26">
      <c r="Y13663" s="1354"/>
      <c r="Z13663" s="1060"/>
    </row>
    <row r="13664" spans="25:26">
      <c r="Y13664" s="1354"/>
      <c r="Z13664" s="1060"/>
    </row>
    <row r="13665" spans="25:26">
      <c r="Y13665" s="1354"/>
      <c r="Z13665" s="1060"/>
    </row>
    <row r="13666" spans="25:26">
      <c r="Y13666" s="1354"/>
      <c r="Z13666" s="1060"/>
    </row>
    <row r="13667" spans="25:26">
      <c r="Y13667" s="1354"/>
      <c r="Z13667" s="1060"/>
    </row>
    <row r="13668" spans="25:26">
      <c r="Y13668" s="1354"/>
      <c r="Z13668" s="1060"/>
    </row>
    <row r="13669" spans="25:26">
      <c r="Y13669" s="1354"/>
      <c r="Z13669" s="1060"/>
    </row>
    <row r="13670" spans="25:26">
      <c r="Y13670" s="1354"/>
      <c r="Z13670" s="1060"/>
    </row>
    <row r="13671" spans="25:26">
      <c r="Y13671" s="1354"/>
      <c r="Z13671" s="1060"/>
    </row>
    <row r="13672" spans="25:26">
      <c r="Y13672" s="1354"/>
      <c r="Z13672" s="1060"/>
    </row>
    <row r="13673" spans="25:26">
      <c r="Y13673" s="1354"/>
      <c r="Z13673" s="1060"/>
    </row>
    <row r="13674" spans="25:26">
      <c r="Y13674" s="1354"/>
      <c r="Z13674" s="1060"/>
    </row>
    <row r="13675" spans="25:26">
      <c r="Y13675" s="1354"/>
      <c r="Z13675" s="1060"/>
    </row>
    <row r="13676" spans="25:26">
      <c r="Y13676" s="1354"/>
      <c r="Z13676" s="1060"/>
    </row>
    <row r="13677" spans="25:26">
      <c r="Y13677" s="1354"/>
      <c r="Z13677" s="1060"/>
    </row>
    <row r="13678" spans="25:26">
      <c r="Y13678" s="1354"/>
      <c r="Z13678" s="1060"/>
    </row>
    <row r="13679" spans="25:26">
      <c r="Y13679" s="1354"/>
      <c r="Z13679" s="1060"/>
    </row>
    <row r="13680" spans="25:26">
      <c r="Y13680" s="1354"/>
      <c r="Z13680" s="1060"/>
    </row>
    <row r="13681" spans="25:26">
      <c r="Y13681" s="1354"/>
      <c r="Z13681" s="1060"/>
    </row>
    <row r="13682" spans="25:26">
      <c r="Y13682" s="1354"/>
      <c r="Z13682" s="1060"/>
    </row>
    <row r="13683" spans="25:26">
      <c r="Y13683" s="1354"/>
      <c r="Z13683" s="1060"/>
    </row>
    <row r="13684" spans="25:26">
      <c r="Y13684" s="1354"/>
      <c r="Z13684" s="1060"/>
    </row>
    <row r="13685" spans="25:26">
      <c r="Y13685" s="1354"/>
      <c r="Z13685" s="1060"/>
    </row>
    <row r="13686" spans="25:26">
      <c r="Y13686" s="1354"/>
      <c r="Z13686" s="1060"/>
    </row>
    <row r="13687" spans="25:26">
      <c r="Y13687" s="1354"/>
      <c r="Z13687" s="1060"/>
    </row>
    <row r="13688" spans="25:26">
      <c r="Y13688" s="1354"/>
      <c r="Z13688" s="1060"/>
    </row>
    <row r="13689" spans="25:26">
      <c r="Y13689" s="1354"/>
      <c r="Z13689" s="1060"/>
    </row>
    <row r="13690" spans="25:26">
      <c r="Y13690" s="1354"/>
      <c r="Z13690" s="1060"/>
    </row>
    <row r="13691" spans="25:26">
      <c r="Y13691" s="1354"/>
      <c r="Z13691" s="1060"/>
    </row>
    <row r="13692" spans="25:26">
      <c r="Y13692" s="1354"/>
      <c r="Z13692" s="1060"/>
    </row>
    <row r="13693" spans="25:26">
      <c r="Y13693" s="1354"/>
      <c r="Z13693" s="1060"/>
    </row>
    <row r="13694" spans="25:26">
      <c r="Y13694" s="1354"/>
      <c r="Z13694" s="1060"/>
    </row>
    <row r="13695" spans="25:26">
      <c r="Y13695" s="1354"/>
      <c r="Z13695" s="1060"/>
    </row>
    <row r="13696" spans="25:26">
      <c r="Y13696" s="1354"/>
      <c r="Z13696" s="1060"/>
    </row>
    <row r="13697" spans="25:26">
      <c r="Y13697" s="1354"/>
      <c r="Z13697" s="1060"/>
    </row>
    <row r="13698" spans="25:26">
      <c r="Y13698" s="1354"/>
      <c r="Z13698" s="1060"/>
    </row>
    <row r="13699" spans="25:26">
      <c r="Y13699" s="1354"/>
      <c r="Z13699" s="1060"/>
    </row>
    <row r="13700" spans="25:26">
      <c r="Y13700" s="1354"/>
      <c r="Z13700" s="1060"/>
    </row>
    <row r="13701" spans="25:26">
      <c r="Y13701" s="1354"/>
      <c r="Z13701" s="1060"/>
    </row>
    <row r="13702" spans="25:26">
      <c r="Y13702" s="1354"/>
      <c r="Z13702" s="1060"/>
    </row>
    <row r="13703" spans="25:26">
      <c r="Y13703" s="1354"/>
      <c r="Z13703" s="1060"/>
    </row>
    <row r="13704" spans="25:26">
      <c r="Y13704" s="1354"/>
      <c r="Z13704" s="1060"/>
    </row>
    <row r="13705" spans="25:26">
      <c r="Y13705" s="1354"/>
      <c r="Z13705" s="1060"/>
    </row>
    <row r="13706" spans="25:26">
      <c r="Y13706" s="1354"/>
      <c r="Z13706" s="1060"/>
    </row>
    <row r="13707" spans="25:26">
      <c r="Y13707" s="1354"/>
      <c r="Z13707" s="1060"/>
    </row>
    <row r="13708" spans="25:26">
      <c r="Y13708" s="1354"/>
      <c r="Z13708" s="1060"/>
    </row>
    <row r="13709" spans="25:26">
      <c r="Y13709" s="1354"/>
      <c r="Z13709" s="1060"/>
    </row>
    <row r="13710" spans="25:26">
      <c r="Y13710" s="1354"/>
      <c r="Z13710" s="1060"/>
    </row>
    <row r="13711" spans="25:26">
      <c r="Y13711" s="1354"/>
      <c r="Z13711" s="1060"/>
    </row>
    <row r="13712" spans="25:26">
      <c r="Y13712" s="1354"/>
      <c r="Z13712" s="1060"/>
    </row>
    <row r="13713" spans="25:26">
      <c r="Y13713" s="1354"/>
      <c r="Z13713" s="1060"/>
    </row>
    <row r="13714" spans="25:26">
      <c r="Y13714" s="1354"/>
      <c r="Z13714" s="1060"/>
    </row>
    <row r="13715" spans="25:26">
      <c r="Y13715" s="1354"/>
      <c r="Z13715" s="1060"/>
    </row>
    <row r="13716" spans="25:26">
      <c r="Y13716" s="1354"/>
      <c r="Z13716" s="1060"/>
    </row>
    <row r="13717" spans="25:26">
      <c r="Y13717" s="1354"/>
      <c r="Z13717" s="1060"/>
    </row>
    <row r="13718" spans="25:26">
      <c r="Y13718" s="1354"/>
      <c r="Z13718" s="1060"/>
    </row>
    <row r="13719" spans="25:26">
      <c r="Y13719" s="1354"/>
      <c r="Z13719" s="1060"/>
    </row>
    <row r="13720" spans="25:26">
      <c r="Y13720" s="1354"/>
      <c r="Z13720" s="1060"/>
    </row>
    <row r="13721" spans="25:26">
      <c r="Y13721" s="1354"/>
      <c r="Z13721" s="1060"/>
    </row>
    <row r="13722" spans="25:26">
      <c r="Y13722" s="1354"/>
      <c r="Z13722" s="1060"/>
    </row>
    <row r="13723" spans="25:26">
      <c r="Y13723" s="1354"/>
      <c r="Z13723" s="1060"/>
    </row>
    <row r="13724" spans="25:26">
      <c r="Y13724" s="1354"/>
      <c r="Z13724" s="1060"/>
    </row>
    <row r="13725" spans="25:26">
      <c r="Y13725" s="1354"/>
      <c r="Z13725" s="1060"/>
    </row>
    <row r="13726" spans="25:26">
      <c r="Y13726" s="1354"/>
      <c r="Z13726" s="1060"/>
    </row>
    <row r="13727" spans="25:26">
      <c r="Y13727" s="1354"/>
      <c r="Z13727" s="1060"/>
    </row>
    <row r="13728" spans="25:26">
      <c r="Y13728" s="1354"/>
      <c r="Z13728" s="1060"/>
    </row>
    <row r="13729" spans="25:26">
      <c r="Y13729" s="1354"/>
      <c r="Z13729" s="1060"/>
    </row>
    <row r="13730" spans="25:26">
      <c r="Y13730" s="1354"/>
      <c r="Z13730" s="1060"/>
    </row>
    <row r="13731" spans="25:26">
      <c r="Y13731" s="1354"/>
      <c r="Z13731" s="1060"/>
    </row>
    <row r="13732" spans="25:26">
      <c r="Y13732" s="1354"/>
      <c r="Z13732" s="1060"/>
    </row>
    <row r="13733" spans="25:26">
      <c r="Y13733" s="1354"/>
      <c r="Z13733" s="1060"/>
    </row>
    <row r="13734" spans="25:26">
      <c r="Y13734" s="1354"/>
      <c r="Z13734" s="1060"/>
    </row>
    <row r="13735" spans="25:26">
      <c r="Y13735" s="1354"/>
      <c r="Z13735" s="1060"/>
    </row>
    <row r="13736" spans="25:26">
      <c r="Y13736" s="1354"/>
      <c r="Z13736" s="1060"/>
    </row>
    <row r="13737" spans="25:26">
      <c r="Y13737" s="1354"/>
      <c r="Z13737" s="1060"/>
    </row>
    <row r="13738" spans="25:26">
      <c r="Y13738" s="1354"/>
      <c r="Z13738" s="1060"/>
    </row>
    <row r="13739" spans="25:26">
      <c r="Y13739" s="1354"/>
      <c r="Z13739" s="1060"/>
    </row>
    <row r="13740" spans="25:26">
      <c r="Y13740" s="1354"/>
      <c r="Z13740" s="1060"/>
    </row>
    <row r="13741" spans="25:26">
      <c r="Y13741" s="1354"/>
      <c r="Z13741" s="1060"/>
    </row>
    <row r="13742" spans="25:26">
      <c r="Y13742" s="1354"/>
      <c r="Z13742" s="1060"/>
    </row>
    <row r="13743" spans="25:26">
      <c r="Y13743" s="1354"/>
      <c r="Z13743" s="1060"/>
    </row>
    <row r="13744" spans="25:26">
      <c r="Y13744" s="1354"/>
      <c r="Z13744" s="1060"/>
    </row>
    <row r="13745" spans="25:26">
      <c r="Y13745" s="1354"/>
      <c r="Z13745" s="1060"/>
    </row>
    <row r="13746" spans="25:26">
      <c r="Y13746" s="1354"/>
      <c r="Z13746" s="1060"/>
    </row>
    <row r="13747" spans="25:26">
      <c r="Y13747" s="1354"/>
      <c r="Z13747" s="1060"/>
    </row>
    <row r="13748" spans="25:26">
      <c r="Y13748" s="1354"/>
      <c r="Z13748" s="1060"/>
    </row>
    <row r="13749" spans="25:26">
      <c r="Y13749" s="1354"/>
      <c r="Z13749" s="1060"/>
    </row>
    <row r="13750" spans="25:26">
      <c r="Y13750" s="1354"/>
      <c r="Z13750" s="1060"/>
    </row>
    <row r="13751" spans="25:26">
      <c r="Y13751" s="1354"/>
      <c r="Z13751" s="1060"/>
    </row>
    <row r="13752" spans="25:26">
      <c r="Y13752" s="1354"/>
      <c r="Z13752" s="1060"/>
    </row>
    <row r="13753" spans="25:26">
      <c r="Y13753" s="1354"/>
      <c r="Z13753" s="1060"/>
    </row>
    <row r="13754" spans="25:26">
      <c r="Y13754" s="1354"/>
      <c r="Z13754" s="1060"/>
    </row>
    <row r="13755" spans="25:26">
      <c r="Y13755" s="1354"/>
      <c r="Z13755" s="1060"/>
    </row>
    <row r="13756" spans="25:26">
      <c r="Y13756" s="1354"/>
      <c r="Z13756" s="1060"/>
    </row>
    <row r="13757" spans="25:26">
      <c r="Y13757" s="1354"/>
      <c r="Z13757" s="1060"/>
    </row>
    <row r="13758" spans="25:26">
      <c r="Y13758" s="1354"/>
      <c r="Z13758" s="1060"/>
    </row>
    <row r="13759" spans="25:26">
      <c r="Y13759" s="1354"/>
      <c r="Z13759" s="1060"/>
    </row>
    <row r="13760" spans="25:26">
      <c r="Y13760" s="1354"/>
      <c r="Z13760" s="1060"/>
    </row>
    <row r="13761" spans="25:26">
      <c r="Y13761" s="1354"/>
      <c r="Z13761" s="1060"/>
    </row>
    <row r="13762" spans="25:26">
      <c r="Y13762" s="1354"/>
      <c r="Z13762" s="1060"/>
    </row>
    <row r="13763" spans="25:26">
      <c r="Y13763" s="1354"/>
      <c r="Z13763" s="1060"/>
    </row>
    <row r="13764" spans="25:26">
      <c r="Y13764" s="1354"/>
      <c r="Z13764" s="1060"/>
    </row>
    <row r="13765" spans="25:26">
      <c r="Y13765" s="1354"/>
      <c r="Z13765" s="1060"/>
    </row>
    <row r="13766" spans="25:26">
      <c r="Y13766" s="1354"/>
      <c r="Z13766" s="1060"/>
    </row>
    <row r="13767" spans="25:26">
      <c r="Y13767" s="1354"/>
      <c r="Z13767" s="1060"/>
    </row>
    <row r="13768" spans="25:26">
      <c r="Y13768" s="1354"/>
      <c r="Z13768" s="1060"/>
    </row>
    <row r="13769" spans="25:26">
      <c r="Y13769" s="1354"/>
      <c r="Z13769" s="1060"/>
    </row>
    <row r="13770" spans="25:26">
      <c r="Y13770" s="1354"/>
      <c r="Z13770" s="1060"/>
    </row>
    <row r="13771" spans="25:26">
      <c r="Y13771" s="1354"/>
      <c r="Z13771" s="1060"/>
    </row>
    <row r="13772" spans="25:26">
      <c r="Y13772" s="1354"/>
      <c r="Z13772" s="1060"/>
    </row>
    <row r="13773" spans="25:26">
      <c r="Y13773" s="1354"/>
      <c r="Z13773" s="1060"/>
    </row>
    <row r="13774" spans="25:26">
      <c r="Y13774" s="1354"/>
      <c r="Z13774" s="1060"/>
    </row>
    <row r="13775" spans="25:26">
      <c r="Y13775" s="1354"/>
      <c r="Z13775" s="1060"/>
    </row>
    <row r="13776" spans="25:26">
      <c r="Y13776" s="1354"/>
      <c r="Z13776" s="1060"/>
    </row>
    <row r="13777" spans="25:26">
      <c r="Y13777" s="1354"/>
      <c r="Z13777" s="1060"/>
    </row>
    <row r="13778" spans="25:26">
      <c r="Y13778" s="1354"/>
      <c r="Z13778" s="1060"/>
    </row>
    <row r="13779" spans="25:26">
      <c r="Y13779" s="1354"/>
      <c r="Z13779" s="1060"/>
    </row>
    <row r="13780" spans="25:26">
      <c r="Y13780" s="1354"/>
      <c r="Z13780" s="1060"/>
    </row>
    <row r="13781" spans="25:26">
      <c r="Y13781" s="1354"/>
      <c r="Z13781" s="1060"/>
    </row>
    <row r="13782" spans="25:26">
      <c r="Y13782" s="1354"/>
      <c r="Z13782" s="1060"/>
    </row>
    <row r="13783" spans="25:26">
      <c r="Y13783" s="1354"/>
      <c r="Z13783" s="1060"/>
    </row>
    <row r="13784" spans="25:26">
      <c r="Y13784" s="1354"/>
      <c r="Z13784" s="1060"/>
    </row>
    <row r="13785" spans="25:26">
      <c r="Y13785" s="1354"/>
      <c r="Z13785" s="1060"/>
    </row>
    <row r="13786" spans="25:26">
      <c r="Y13786" s="1354"/>
      <c r="Z13786" s="1060"/>
    </row>
    <row r="13787" spans="25:26">
      <c r="Y13787" s="1354"/>
      <c r="Z13787" s="1060"/>
    </row>
    <row r="13788" spans="25:26">
      <c r="Y13788" s="1354"/>
      <c r="Z13788" s="1060"/>
    </row>
    <row r="13789" spans="25:26">
      <c r="Y13789" s="1354"/>
      <c r="Z13789" s="1060"/>
    </row>
    <row r="13790" spans="25:26">
      <c r="Y13790" s="1354"/>
      <c r="Z13790" s="1060"/>
    </row>
    <row r="13791" spans="25:26">
      <c r="Y13791" s="1354"/>
      <c r="Z13791" s="1060"/>
    </row>
    <row r="13792" spans="25:26">
      <c r="Y13792" s="1354"/>
      <c r="Z13792" s="1060"/>
    </row>
    <row r="13793" spans="25:26">
      <c r="Y13793" s="1354"/>
      <c r="Z13793" s="1060"/>
    </row>
    <row r="13794" spans="25:26">
      <c r="Y13794" s="1354"/>
      <c r="Z13794" s="1060"/>
    </row>
    <row r="13795" spans="25:26">
      <c r="Y13795" s="1354"/>
      <c r="Z13795" s="1060"/>
    </row>
    <row r="13796" spans="25:26">
      <c r="Y13796" s="1354"/>
      <c r="Z13796" s="1060"/>
    </row>
    <row r="13797" spans="25:26">
      <c r="Y13797" s="1354"/>
      <c r="Z13797" s="1060"/>
    </row>
    <row r="13798" spans="25:26">
      <c r="Y13798" s="1354"/>
      <c r="Z13798" s="1060"/>
    </row>
    <row r="13799" spans="25:26">
      <c r="Y13799" s="1354"/>
      <c r="Z13799" s="1060"/>
    </row>
    <row r="13800" spans="25:26">
      <c r="Y13800" s="1354"/>
      <c r="Z13800" s="1060"/>
    </row>
    <row r="13801" spans="25:26">
      <c r="Y13801" s="1354"/>
      <c r="Z13801" s="1060"/>
    </row>
    <row r="13802" spans="25:26">
      <c r="Y13802" s="1354"/>
      <c r="Z13802" s="1060"/>
    </row>
    <row r="13803" spans="25:26">
      <c r="Y13803" s="1354"/>
      <c r="Z13803" s="1060"/>
    </row>
    <row r="13804" spans="25:26">
      <c r="Y13804" s="1354"/>
      <c r="Z13804" s="1060"/>
    </row>
    <row r="13805" spans="25:26">
      <c r="Y13805" s="1354"/>
      <c r="Z13805" s="1060"/>
    </row>
    <row r="13806" spans="25:26">
      <c r="Y13806" s="1354"/>
      <c r="Z13806" s="1060"/>
    </row>
    <row r="13807" spans="25:26">
      <c r="Y13807" s="1354"/>
      <c r="Z13807" s="1060"/>
    </row>
    <row r="13808" spans="25:26">
      <c r="Y13808" s="1354"/>
      <c r="Z13808" s="1060"/>
    </row>
    <row r="13809" spans="25:26">
      <c r="Y13809" s="1354"/>
      <c r="Z13809" s="1060"/>
    </row>
    <row r="13810" spans="25:26">
      <c r="Y13810" s="1354"/>
      <c r="Z13810" s="1060"/>
    </row>
    <row r="13811" spans="25:26">
      <c r="Y13811" s="1354"/>
      <c r="Z13811" s="1060"/>
    </row>
    <row r="13812" spans="25:26">
      <c r="Y13812" s="1354"/>
      <c r="Z13812" s="1060"/>
    </row>
    <row r="13813" spans="25:26">
      <c r="Y13813" s="1354"/>
      <c r="Z13813" s="1060"/>
    </row>
    <row r="13814" spans="25:26">
      <c r="Y13814" s="1354"/>
      <c r="Z13814" s="1060"/>
    </row>
    <row r="13815" spans="25:26">
      <c r="Y13815" s="1354"/>
      <c r="Z13815" s="1060"/>
    </row>
    <row r="13816" spans="25:26">
      <c r="Y13816" s="1354"/>
      <c r="Z13816" s="1060"/>
    </row>
    <row r="13817" spans="25:26">
      <c r="Y13817" s="1354"/>
      <c r="Z13817" s="1060"/>
    </row>
    <row r="13818" spans="25:26">
      <c r="Y13818" s="1354"/>
      <c r="Z13818" s="1060"/>
    </row>
    <row r="13819" spans="25:26">
      <c r="Y13819" s="1354"/>
      <c r="Z13819" s="1060"/>
    </row>
    <row r="13820" spans="25:26">
      <c r="Y13820" s="1354"/>
      <c r="Z13820" s="1060"/>
    </row>
    <row r="13821" spans="25:26">
      <c r="Y13821" s="1354"/>
      <c r="Z13821" s="1060"/>
    </row>
    <row r="13822" spans="25:26">
      <c r="Y13822" s="1354"/>
      <c r="Z13822" s="1060"/>
    </row>
    <row r="13823" spans="25:26">
      <c r="Y13823" s="1354"/>
      <c r="Z13823" s="1060"/>
    </row>
    <row r="13824" spans="25:26">
      <c r="Y13824" s="1354"/>
      <c r="Z13824" s="1060"/>
    </row>
    <row r="13825" spans="25:26">
      <c r="Y13825" s="1354"/>
      <c r="Z13825" s="1060"/>
    </row>
    <row r="13826" spans="25:26">
      <c r="Y13826" s="1354"/>
      <c r="Z13826" s="1060"/>
    </row>
    <row r="13827" spans="25:26">
      <c r="Y13827" s="1354"/>
      <c r="Z13827" s="1060"/>
    </row>
    <row r="13828" spans="25:26">
      <c r="Y13828" s="1354"/>
      <c r="Z13828" s="1060"/>
    </row>
    <row r="13829" spans="25:26">
      <c r="Y13829" s="1354"/>
      <c r="Z13829" s="1060"/>
    </row>
    <row r="13830" spans="25:26">
      <c r="Y13830" s="1354"/>
      <c r="Z13830" s="1060"/>
    </row>
    <row r="13831" spans="25:26">
      <c r="Y13831" s="1354"/>
      <c r="Z13831" s="1060"/>
    </row>
    <row r="13832" spans="25:26">
      <c r="Y13832" s="1354"/>
      <c r="Z13832" s="1060"/>
    </row>
    <row r="13833" spans="25:26">
      <c r="Y13833" s="1354"/>
      <c r="Z13833" s="1060"/>
    </row>
    <row r="13834" spans="25:26">
      <c r="Y13834" s="1354"/>
      <c r="Z13834" s="1060"/>
    </row>
    <row r="13835" spans="25:26">
      <c r="Y13835" s="1354"/>
      <c r="Z13835" s="1060"/>
    </row>
    <row r="13836" spans="25:26">
      <c r="Y13836" s="1354"/>
      <c r="Z13836" s="1060"/>
    </row>
    <row r="13837" spans="25:26">
      <c r="Y13837" s="1354"/>
      <c r="Z13837" s="1060"/>
    </row>
    <row r="13838" spans="25:26">
      <c r="Y13838" s="1354"/>
      <c r="Z13838" s="1060"/>
    </row>
    <row r="13839" spans="25:26">
      <c r="Y13839" s="1354"/>
      <c r="Z13839" s="1060"/>
    </row>
    <row r="13840" spans="25:26">
      <c r="Y13840" s="1354"/>
      <c r="Z13840" s="1060"/>
    </row>
    <row r="13841" spans="25:26">
      <c r="Y13841" s="1354"/>
      <c r="Z13841" s="1060"/>
    </row>
    <row r="13842" spans="25:26">
      <c r="Y13842" s="1354"/>
      <c r="Z13842" s="1060"/>
    </row>
    <row r="13843" spans="25:26">
      <c r="Y13843" s="1354"/>
      <c r="Z13843" s="1060"/>
    </row>
    <row r="13844" spans="25:26">
      <c r="Y13844" s="1354"/>
      <c r="Z13844" s="1060"/>
    </row>
    <row r="13845" spans="25:26">
      <c r="Y13845" s="1354"/>
      <c r="Z13845" s="1060"/>
    </row>
    <row r="13846" spans="25:26">
      <c r="Y13846" s="1354"/>
      <c r="Z13846" s="1060"/>
    </row>
    <row r="13847" spans="25:26">
      <c r="Y13847" s="1354"/>
      <c r="Z13847" s="1060"/>
    </row>
    <row r="13848" spans="25:26">
      <c r="Y13848" s="1354"/>
      <c r="Z13848" s="1060"/>
    </row>
    <row r="13849" spans="25:26">
      <c r="Y13849" s="1354"/>
      <c r="Z13849" s="1060"/>
    </row>
    <row r="13850" spans="25:26">
      <c r="Y13850" s="1354"/>
      <c r="Z13850" s="1060"/>
    </row>
    <row r="13851" spans="25:26">
      <c r="Y13851" s="1354"/>
      <c r="Z13851" s="1060"/>
    </row>
    <row r="13852" spans="25:26">
      <c r="Y13852" s="1354"/>
      <c r="Z13852" s="1060"/>
    </row>
    <row r="13853" spans="25:26">
      <c r="Y13853" s="1354"/>
      <c r="Z13853" s="1060"/>
    </row>
    <row r="13854" spans="25:26">
      <c r="Y13854" s="1354"/>
      <c r="Z13854" s="1060"/>
    </row>
    <row r="13855" spans="25:26">
      <c r="Y13855" s="1354"/>
      <c r="Z13855" s="1060"/>
    </row>
    <row r="13856" spans="25:26">
      <c r="Y13856" s="1354"/>
      <c r="Z13856" s="1060"/>
    </row>
    <row r="13857" spans="25:26">
      <c r="Y13857" s="1354"/>
      <c r="Z13857" s="1060"/>
    </row>
    <row r="13858" spans="25:26">
      <c r="Y13858" s="1354"/>
      <c r="Z13858" s="1060"/>
    </row>
    <row r="13859" spans="25:26">
      <c r="Y13859" s="1354"/>
      <c r="Z13859" s="1060"/>
    </row>
    <row r="13860" spans="25:26">
      <c r="Y13860" s="1354"/>
      <c r="Z13860" s="1060"/>
    </row>
    <row r="13861" spans="25:26">
      <c r="Y13861" s="1354"/>
      <c r="Z13861" s="1060"/>
    </row>
    <row r="13862" spans="25:26">
      <c r="Y13862" s="1354"/>
      <c r="Z13862" s="1060"/>
    </row>
    <row r="13863" spans="25:26">
      <c r="Y13863" s="1354"/>
      <c r="Z13863" s="1060"/>
    </row>
    <row r="13864" spans="25:26">
      <c r="Y13864" s="1354"/>
      <c r="Z13864" s="1060"/>
    </row>
    <row r="13865" spans="25:26">
      <c r="Y13865" s="1354"/>
      <c r="Z13865" s="1060"/>
    </row>
    <row r="13866" spans="25:26">
      <c r="Y13866" s="1354"/>
      <c r="Z13866" s="1060"/>
    </row>
    <row r="13867" spans="25:26">
      <c r="Y13867" s="1354"/>
      <c r="Z13867" s="1060"/>
    </row>
    <row r="13868" spans="25:26">
      <c r="Y13868" s="1354"/>
      <c r="Z13868" s="1060"/>
    </row>
    <row r="13869" spans="25:26">
      <c r="Y13869" s="1354"/>
      <c r="Z13869" s="1060"/>
    </row>
    <row r="13870" spans="25:26">
      <c r="Y13870" s="1354"/>
      <c r="Z13870" s="1060"/>
    </row>
    <row r="13871" spans="25:26">
      <c r="Y13871" s="1354"/>
      <c r="Z13871" s="1060"/>
    </row>
    <row r="13872" spans="25:26">
      <c r="Y13872" s="1354"/>
      <c r="Z13872" s="1060"/>
    </row>
    <row r="13873" spans="25:26">
      <c r="Y13873" s="1354"/>
      <c r="Z13873" s="1060"/>
    </row>
    <row r="13874" spans="25:26">
      <c r="Y13874" s="1354"/>
      <c r="Z13874" s="1060"/>
    </row>
    <row r="13875" spans="25:26">
      <c r="Y13875" s="1354"/>
      <c r="Z13875" s="1060"/>
    </row>
    <row r="13876" spans="25:26">
      <c r="Y13876" s="1354"/>
      <c r="Z13876" s="1060"/>
    </row>
    <row r="13877" spans="25:26">
      <c r="Y13877" s="1354"/>
      <c r="Z13877" s="1060"/>
    </row>
    <row r="13878" spans="25:26">
      <c r="Y13878" s="1354"/>
      <c r="Z13878" s="1060"/>
    </row>
    <row r="13879" spans="25:26">
      <c r="Y13879" s="1354"/>
      <c r="Z13879" s="1060"/>
    </row>
    <row r="13880" spans="25:26">
      <c r="Y13880" s="1354"/>
      <c r="Z13880" s="1060"/>
    </row>
    <row r="13881" spans="25:26">
      <c r="Y13881" s="1354"/>
      <c r="Z13881" s="1060"/>
    </row>
    <row r="13882" spans="25:26">
      <c r="Y13882" s="1354"/>
      <c r="Z13882" s="1060"/>
    </row>
    <row r="13883" spans="25:26">
      <c r="Y13883" s="1354"/>
      <c r="Z13883" s="1060"/>
    </row>
    <row r="13884" spans="25:26">
      <c r="Y13884" s="1354"/>
      <c r="Z13884" s="1060"/>
    </row>
    <row r="13885" spans="25:26">
      <c r="Y13885" s="1354"/>
      <c r="Z13885" s="1060"/>
    </row>
    <row r="13886" spans="25:26">
      <c r="Y13886" s="1354"/>
      <c r="Z13886" s="1060"/>
    </row>
    <row r="13887" spans="25:26">
      <c r="Y13887" s="1354"/>
      <c r="Z13887" s="1060"/>
    </row>
    <row r="13888" spans="25:26">
      <c r="Y13888" s="1354"/>
      <c r="Z13888" s="1060"/>
    </row>
    <row r="13889" spans="25:26">
      <c r="Y13889" s="1354"/>
      <c r="Z13889" s="1060"/>
    </row>
    <row r="13890" spans="25:26">
      <c r="Y13890" s="1354"/>
      <c r="Z13890" s="1060"/>
    </row>
    <row r="13891" spans="25:26">
      <c r="Y13891" s="1354"/>
      <c r="Z13891" s="1060"/>
    </row>
    <row r="13892" spans="25:26">
      <c r="Y13892" s="1354"/>
      <c r="Z13892" s="1060"/>
    </row>
    <row r="13893" spans="25:26">
      <c r="Y13893" s="1354"/>
      <c r="Z13893" s="1060"/>
    </row>
    <row r="13894" spans="25:26">
      <c r="Y13894" s="1354"/>
      <c r="Z13894" s="1060"/>
    </row>
    <row r="13895" spans="25:26">
      <c r="Y13895" s="1354"/>
      <c r="Z13895" s="1060"/>
    </row>
    <row r="13896" spans="25:26">
      <c r="Y13896" s="1354"/>
      <c r="Z13896" s="1060"/>
    </row>
    <row r="13897" spans="25:26">
      <c r="Y13897" s="1354"/>
      <c r="Z13897" s="1060"/>
    </row>
    <row r="13898" spans="25:26">
      <c r="Y13898" s="1354"/>
      <c r="Z13898" s="1060"/>
    </row>
    <row r="13899" spans="25:26">
      <c r="Y13899" s="1354"/>
      <c r="Z13899" s="1060"/>
    </row>
    <row r="13900" spans="25:26">
      <c r="Y13900" s="1354"/>
      <c r="Z13900" s="1060"/>
    </row>
    <row r="13901" spans="25:26">
      <c r="Y13901" s="1354"/>
      <c r="Z13901" s="1060"/>
    </row>
    <row r="13902" spans="25:26">
      <c r="Y13902" s="1354"/>
      <c r="Z13902" s="1060"/>
    </row>
    <row r="13903" spans="25:26">
      <c r="Y13903" s="1354"/>
      <c r="Z13903" s="1060"/>
    </row>
    <row r="13904" spans="25:26">
      <c r="Y13904" s="1354"/>
      <c r="Z13904" s="1060"/>
    </row>
    <row r="13905" spans="25:26">
      <c r="Y13905" s="1354"/>
      <c r="Z13905" s="1060"/>
    </row>
    <row r="13906" spans="25:26">
      <c r="Y13906" s="1354"/>
      <c r="Z13906" s="1060"/>
    </row>
    <row r="13907" spans="25:26">
      <c r="Y13907" s="1354"/>
      <c r="Z13907" s="1060"/>
    </row>
    <row r="13908" spans="25:26">
      <c r="Y13908" s="1354"/>
      <c r="Z13908" s="1060"/>
    </row>
    <row r="13909" spans="25:26">
      <c r="Y13909" s="1354"/>
      <c r="Z13909" s="1060"/>
    </row>
    <row r="13910" spans="25:26">
      <c r="Y13910" s="1354"/>
      <c r="Z13910" s="1060"/>
    </row>
    <row r="13911" spans="25:26">
      <c r="Y13911" s="1354"/>
      <c r="Z13911" s="1060"/>
    </row>
    <row r="13912" spans="25:26">
      <c r="Y13912" s="1354"/>
      <c r="Z13912" s="1060"/>
    </row>
    <row r="13913" spans="25:26">
      <c r="Y13913" s="1354"/>
      <c r="Z13913" s="1060"/>
    </row>
    <row r="13914" spans="25:26">
      <c r="Y13914" s="1354"/>
      <c r="Z13914" s="1060"/>
    </row>
    <row r="13915" spans="25:26">
      <c r="Y13915" s="1354"/>
      <c r="Z13915" s="1060"/>
    </row>
    <row r="13916" spans="25:26">
      <c r="Y13916" s="1354"/>
      <c r="Z13916" s="1060"/>
    </row>
    <row r="13917" spans="25:26">
      <c r="Y13917" s="1354"/>
      <c r="Z13917" s="1060"/>
    </row>
    <row r="13918" spans="25:26">
      <c r="Y13918" s="1354"/>
      <c r="Z13918" s="1060"/>
    </row>
    <row r="13919" spans="25:26">
      <c r="Y13919" s="1354"/>
      <c r="Z13919" s="1060"/>
    </row>
    <row r="13920" spans="25:26">
      <c r="Y13920" s="1354"/>
      <c r="Z13920" s="1060"/>
    </row>
    <row r="13921" spans="25:26">
      <c r="Y13921" s="1354"/>
      <c r="Z13921" s="1060"/>
    </row>
    <row r="13922" spans="25:26">
      <c r="Y13922" s="1354"/>
      <c r="Z13922" s="1060"/>
    </row>
    <row r="13923" spans="25:26">
      <c r="Y13923" s="1354"/>
      <c r="Z13923" s="1060"/>
    </row>
    <row r="13924" spans="25:26">
      <c r="Y13924" s="1354"/>
      <c r="Z13924" s="1060"/>
    </row>
    <row r="13925" spans="25:26">
      <c r="Y13925" s="1354"/>
      <c r="Z13925" s="1060"/>
    </row>
    <row r="13926" spans="25:26">
      <c r="Y13926" s="1354"/>
      <c r="Z13926" s="1060"/>
    </row>
    <row r="13927" spans="25:26">
      <c r="Y13927" s="1354"/>
      <c r="Z13927" s="1060"/>
    </row>
    <row r="13928" spans="25:26">
      <c r="Y13928" s="1354"/>
      <c r="Z13928" s="1060"/>
    </row>
    <row r="13929" spans="25:26">
      <c r="Y13929" s="1354"/>
      <c r="Z13929" s="1060"/>
    </row>
    <row r="13930" spans="25:26">
      <c r="Y13930" s="1354"/>
      <c r="Z13930" s="1060"/>
    </row>
    <row r="13931" spans="25:26">
      <c r="Y13931" s="1354"/>
      <c r="Z13931" s="1060"/>
    </row>
    <row r="13932" spans="25:26">
      <c r="Y13932" s="1354"/>
      <c r="Z13932" s="1060"/>
    </row>
    <row r="13933" spans="25:26">
      <c r="Y13933" s="1354"/>
      <c r="Z13933" s="1060"/>
    </row>
    <row r="13934" spans="25:26">
      <c r="Y13934" s="1354"/>
      <c r="Z13934" s="1060"/>
    </row>
    <row r="13935" spans="25:26">
      <c r="Y13935" s="1354"/>
      <c r="Z13935" s="1060"/>
    </row>
    <row r="13936" spans="25:26">
      <c r="Y13936" s="1354"/>
      <c r="Z13936" s="1060"/>
    </row>
    <row r="13937" spans="25:26">
      <c r="Y13937" s="1354"/>
      <c r="Z13937" s="1060"/>
    </row>
    <row r="13938" spans="25:26">
      <c r="Y13938" s="1354"/>
      <c r="Z13938" s="1060"/>
    </row>
    <row r="13939" spans="25:26">
      <c r="Y13939" s="1354"/>
      <c r="Z13939" s="1060"/>
    </row>
    <row r="13940" spans="25:26">
      <c r="Y13940" s="1354"/>
      <c r="Z13940" s="1060"/>
    </row>
    <row r="13941" spans="25:26">
      <c r="Y13941" s="1354"/>
      <c r="Z13941" s="1060"/>
    </row>
    <row r="13942" spans="25:26">
      <c r="Y13942" s="1354"/>
      <c r="Z13942" s="1060"/>
    </row>
    <row r="13943" spans="25:26">
      <c r="Y13943" s="1354"/>
      <c r="Z13943" s="1060"/>
    </row>
    <row r="13944" spans="25:26">
      <c r="Y13944" s="1354"/>
      <c r="Z13944" s="1060"/>
    </row>
    <row r="13945" spans="25:26">
      <c r="Y13945" s="1354"/>
      <c r="Z13945" s="1060"/>
    </row>
    <row r="13946" spans="25:26">
      <c r="Y13946" s="1354"/>
      <c r="Z13946" s="1060"/>
    </row>
    <row r="13947" spans="25:26">
      <c r="Y13947" s="1354"/>
      <c r="Z13947" s="1060"/>
    </row>
    <row r="13948" spans="25:26">
      <c r="Y13948" s="1354"/>
      <c r="Z13948" s="1060"/>
    </row>
    <row r="13949" spans="25:26">
      <c r="Y13949" s="1354"/>
      <c r="Z13949" s="1060"/>
    </row>
    <row r="13950" spans="25:26">
      <c r="Y13950" s="1354"/>
      <c r="Z13950" s="1060"/>
    </row>
    <row r="13951" spans="25:26">
      <c r="Y13951" s="1354"/>
      <c r="Z13951" s="1060"/>
    </row>
    <row r="13952" spans="25:26">
      <c r="Y13952" s="1354"/>
      <c r="Z13952" s="1060"/>
    </row>
    <row r="13953" spans="25:26">
      <c r="Y13953" s="1354"/>
      <c r="Z13953" s="1060"/>
    </row>
    <row r="13954" spans="25:26">
      <c r="Y13954" s="1354"/>
      <c r="Z13954" s="1060"/>
    </row>
    <row r="13955" spans="25:26">
      <c r="Y13955" s="1354"/>
      <c r="Z13955" s="1060"/>
    </row>
    <row r="13956" spans="25:26">
      <c r="Y13956" s="1354"/>
      <c r="Z13956" s="1060"/>
    </row>
    <row r="13957" spans="25:26">
      <c r="Y13957" s="1354"/>
      <c r="Z13957" s="1060"/>
    </row>
    <row r="13958" spans="25:26">
      <c r="Y13958" s="1354"/>
      <c r="Z13958" s="1060"/>
    </row>
    <row r="13959" spans="25:26">
      <c r="Y13959" s="1354"/>
      <c r="Z13959" s="1060"/>
    </row>
    <row r="13960" spans="25:26">
      <c r="Y13960" s="1354"/>
      <c r="Z13960" s="1060"/>
    </row>
    <row r="13961" spans="25:26">
      <c r="Y13961" s="1354"/>
      <c r="Z13961" s="1060"/>
    </row>
    <row r="13962" spans="25:26">
      <c r="Y13962" s="1354"/>
      <c r="Z13962" s="1060"/>
    </row>
    <row r="13963" spans="25:26">
      <c r="Y13963" s="1354"/>
      <c r="Z13963" s="1060"/>
    </row>
    <row r="13964" spans="25:26">
      <c r="Y13964" s="1354"/>
      <c r="Z13964" s="1060"/>
    </row>
    <row r="13965" spans="25:26">
      <c r="Y13965" s="1354"/>
      <c r="Z13965" s="1060"/>
    </row>
    <row r="13966" spans="25:26">
      <c r="Y13966" s="1354"/>
      <c r="Z13966" s="1060"/>
    </row>
    <row r="13967" spans="25:26">
      <c r="Y13967" s="1354"/>
      <c r="Z13967" s="1060"/>
    </row>
    <row r="13968" spans="25:26">
      <c r="Y13968" s="1354"/>
      <c r="Z13968" s="1060"/>
    </row>
    <row r="13969" spans="25:26">
      <c r="Y13969" s="1354"/>
      <c r="Z13969" s="1060"/>
    </row>
    <row r="13970" spans="25:26">
      <c r="Y13970" s="1354"/>
      <c r="Z13970" s="1060"/>
    </row>
    <row r="13971" spans="25:26">
      <c r="Y13971" s="1354"/>
      <c r="Z13971" s="1060"/>
    </row>
    <row r="13972" spans="25:26">
      <c r="Y13972" s="1354"/>
      <c r="Z13972" s="1060"/>
    </row>
    <row r="13973" spans="25:26">
      <c r="Y13973" s="1354"/>
      <c r="Z13973" s="1060"/>
    </row>
    <row r="13974" spans="25:26">
      <c r="Y13974" s="1354"/>
      <c r="Z13974" s="1060"/>
    </row>
    <row r="13975" spans="25:26">
      <c r="Y13975" s="1354"/>
      <c r="Z13975" s="1060"/>
    </row>
    <row r="13976" spans="25:26">
      <c r="Y13976" s="1354"/>
      <c r="Z13976" s="1060"/>
    </row>
    <row r="13977" spans="25:26">
      <c r="Y13977" s="1354"/>
      <c r="Z13977" s="1060"/>
    </row>
    <row r="13978" spans="25:26">
      <c r="Y13978" s="1354"/>
      <c r="Z13978" s="1060"/>
    </row>
    <row r="13979" spans="25:26">
      <c r="Y13979" s="1354"/>
      <c r="Z13979" s="1060"/>
    </row>
    <row r="13980" spans="25:26">
      <c r="Y13980" s="1354"/>
      <c r="Z13980" s="1060"/>
    </row>
    <row r="13981" spans="25:26">
      <c r="Y13981" s="1354"/>
      <c r="Z13981" s="1060"/>
    </row>
    <row r="13982" spans="25:26">
      <c r="Y13982" s="1354"/>
      <c r="Z13982" s="1060"/>
    </row>
    <row r="13983" spans="25:26">
      <c r="Y13983" s="1354"/>
      <c r="Z13983" s="1060"/>
    </row>
    <row r="13984" spans="25:26">
      <c r="Y13984" s="1354"/>
      <c r="Z13984" s="1060"/>
    </row>
    <row r="13985" spans="25:26">
      <c r="Y13985" s="1354"/>
      <c r="Z13985" s="1060"/>
    </row>
    <row r="13986" spans="25:26">
      <c r="Y13986" s="1354"/>
      <c r="Z13986" s="1060"/>
    </row>
    <row r="13987" spans="25:26">
      <c r="Y13987" s="1354"/>
      <c r="Z13987" s="1060"/>
    </row>
    <row r="13988" spans="25:26">
      <c r="Y13988" s="1354"/>
      <c r="Z13988" s="1060"/>
    </row>
    <row r="13989" spans="25:26">
      <c r="Y13989" s="1354"/>
      <c r="Z13989" s="1060"/>
    </row>
    <row r="13990" spans="25:26">
      <c r="Y13990" s="1354"/>
      <c r="Z13990" s="1060"/>
    </row>
    <row r="13991" spans="25:26">
      <c r="Y13991" s="1354"/>
      <c r="Z13991" s="1060"/>
    </row>
    <row r="13992" spans="25:26">
      <c r="Y13992" s="1354"/>
      <c r="Z13992" s="1060"/>
    </row>
    <row r="13993" spans="25:26">
      <c r="Y13993" s="1354"/>
      <c r="Z13993" s="1060"/>
    </row>
    <row r="13994" spans="25:26">
      <c r="Y13994" s="1354"/>
      <c r="Z13994" s="1060"/>
    </row>
    <row r="13995" spans="25:26">
      <c r="Y13995" s="1354"/>
      <c r="Z13995" s="1060"/>
    </row>
    <row r="13996" spans="25:26">
      <c r="Y13996" s="1354"/>
      <c r="Z13996" s="1060"/>
    </row>
    <row r="13997" spans="25:26">
      <c r="Y13997" s="1354"/>
      <c r="Z13997" s="1060"/>
    </row>
    <row r="13998" spans="25:26">
      <c r="Y13998" s="1354"/>
      <c r="Z13998" s="1060"/>
    </row>
    <row r="13999" spans="25:26">
      <c r="Y13999" s="1354"/>
      <c r="Z13999" s="1060"/>
    </row>
    <row r="14000" spans="25:26">
      <c r="Y14000" s="1354"/>
      <c r="Z14000" s="1060"/>
    </row>
    <row r="14001" spans="25:26">
      <c r="Y14001" s="1354"/>
      <c r="Z14001" s="1060"/>
    </row>
    <row r="14002" spans="25:26">
      <c r="Y14002" s="1354"/>
      <c r="Z14002" s="1060"/>
    </row>
    <row r="14003" spans="25:26">
      <c r="Y14003" s="1354"/>
      <c r="Z14003" s="1060"/>
    </row>
    <row r="14004" spans="25:26">
      <c r="Y14004" s="1354"/>
      <c r="Z14004" s="1060"/>
    </row>
    <row r="14005" spans="25:26">
      <c r="Y14005" s="1354"/>
      <c r="Z14005" s="1060"/>
    </row>
    <row r="14006" spans="25:26">
      <c r="Y14006" s="1354"/>
      <c r="Z14006" s="1060"/>
    </row>
    <row r="14007" spans="25:26">
      <c r="Y14007" s="1354"/>
      <c r="Z14007" s="1060"/>
    </row>
    <row r="14008" spans="25:26">
      <c r="Y14008" s="1354"/>
      <c r="Z14008" s="1060"/>
    </row>
    <row r="14009" spans="25:26">
      <c r="Y14009" s="1354"/>
      <c r="Z14009" s="1060"/>
    </row>
    <row r="14010" spans="25:26">
      <c r="Y14010" s="1354"/>
      <c r="Z14010" s="1060"/>
    </row>
    <row r="14011" spans="25:26">
      <c r="Y14011" s="1354"/>
      <c r="Z14011" s="1060"/>
    </row>
    <row r="14012" spans="25:26">
      <c r="Y14012" s="1354"/>
      <c r="Z14012" s="1060"/>
    </row>
    <row r="14013" spans="25:26">
      <c r="Y14013" s="1354"/>
      <c r="Z14013" s="1060"/>
    </row>
    <row r="14014" spans="25:26">
      <c r="Y14014" s="1354"/>
      <c r="Z14014" s="1060"/>
    </row>
    <row r="14015" spans="25:26">
      <c r="Y14015" s="1354"/>
      <c r="Z14015" s="1060"/>
    </row>
    <row r="14016" spans="25:26">
      <c r="Y14016" s="1354"/>
      <c r="Z14016" s="1060"/>
    </row>
    <row r="14017" spans="25:26">
      <c r="Y14017" s="1354"/>
      <c r="Z14017" s="1060"/>
    </row>
    <row r="14018" spans="25:26">
      <c r="Y14018" s="1354"/>
      <c r="Z14018" s="1060"/>
    </row>
    <row r="14019" spans="25:26">
      <c r="Y14019" s="1354"/>
      <c r="Z14019" s="1060"/>
    </row>
    <row r="14020" spans="25:26">
      <c r="Y14020" s="1354"/>
      <c r="Z14020" s="1060"/>
    </row>
    <row r="14021" spans="25:26">
      <c r="Y14021" s="1354"/>
      <c r="Z14021" s="1060"/>
    </row>
    <row r="14022" spans="25:26">
      <c r="Y14022" s="1354"/>
      <c r="Z14022" s="1060"/>
    </row>
    <row r="14023" spans="25:26">
      <c r="Y14023" s="1354"/>
      <c r="Z14023" s="1060"/>
    </row>
    <row r="14024" spans="25:26">
      <c r="Y14024" s="1354"/>
      <c r="Z14024" s="1060"/>
    </row>
    <row r="14025" spans="25:26">
      <c r="Y14025" s="1354"/>
      <c r="Z14025" s="1060"/>
    </row>
    <row r="14026" spans="25:26">
      <c r="Y14026" s="1354"/>
      <c r="Z14026" s="1060"/>
    </row>
    <row r="14027" spans="25:26">
      <c r="Y14027" s="1354"/>
      <c r="Z14027" s="1060"/>
    </row>
    <row r="14028" spans="25:26">
      <c r="Y14028" s="1354"/>
      <c r="Z14028" s="1060"/>
    </row>
    <row r="14029" spans="25:26">
      <c r="Y14029" s="1354"/>
      <c r="Z14029" s="1060"/>
    </row>
    <row r="14030" spans="25:26">
      <c r="Y14030" s="1354"/>
      <c r="Z14030" s="1060"/>
    </row>
    <row r="14031" spans="25:26">
      <c r="Y14031" s="1354"/>
      <c r="Z14031" s="1060"/>
    </row>
    <row r="14032" spans="25:26">
      <c r="Y14032" s="1354"/>
      <c r="Z14032" s="1060"/>
    </row>
    <row r="14033" spans="25:26">
      <c r="Y14033" s="1354"/>
      <c r="Z14033" s="1060"/>
    </row>
    <row r="14034" spans="25:26">
      <c r="Y14034" s="1354"/>
      <c r="Z14034" s="1060"/>
    </row>
    <row r="14035" spans="25:26">
      <c r="Y14035" s="1354"/>
      <c r="Z14035" s="1060"/>
    </row>
    <row r="14036" spans="25:26">
      <c r="Y14036" s="1354"/>
      <c r="Z14036" s="1060"/>
    </row>
    <row r="14037" spans="25:26">
      <c r="Y14037" s="1354"/>
      <c r="Z14037" s="1060"/>
    </row>
    <row r="14038" spans="25:26">
      <c r="Y14038" s="1354"/>
      <c r="Z14038" s="1060"/>
    </row>
    <row r="14039" spans="25:26">
      <c r="Y14039" s="1354"/>
      <c r="Z14039" s="1060"/>
    </row>
    <row r="14040" spans="25:26">
      <c r="Y14040" s="1354"/>
      <c r="Z14040" s="1060"/>
    </row>
    <row r="14041" spans="25:26">
      <c r="Y14041" s="1354"/>
      <c r="Z14041" s="1060"/>
    </row>
    <row r="14042" spans="25:26">
      <c r="Y14042" s="1354"/>
      <c r="Z14042" s="1060"/>
    </row>
    <row r="14043" spans="25:26">
      <c r="Y14043" s="1354"/>
      <c r="Z14043" s="1060"/>
    </row>
    <row r="14044" spans="25:26">
      <c r="Y14044" s="1354"/>
      <c r="Z14044" s="1060"/>
    </row>
    <row r="14045" spans="25:26">
      <c r="Y14045" s="1354"/>
      <c r="Z14045" s="1060"/>
    </row>
    <row r="14046" spans="25:26">
      <c r="Y14046" s="1354"/>
      <c r="Z14046" s="1060"/>
    </row>
    <row r="14047" spans="25:26">
      <c r="Y14047" s="1354"/>
      <c r="Z14047" s="1060"/>
    </row>
    <row r="14048" spans="25:26">
      <c r="Y14048" s="1354"/>
      <c r="Z14048" s="1060"/>
    </row>
    <row r="14049" spans="25:26">
      <c r="Y14049" s="1354"/>
      <c r="Z14049" s="1060"/>
    </row>
    <row r="14050" spans="25:26">
      <c r="Y14050" s="1354"/>
      <c r="Z14050" s="1060"/>
    </row>
    <row r="14051" spans="25:26">
      <c r="Y14051" s="1354"/>
      <c r="Z14051" s="1060"/>
    </row>
    <row r="14052" spans="25:26">
      <c r="Y14052" s="1354"/>
      <c r="Z14052" s="1060"/>
    </row>
    <row r="14053" spans="25:26">
      <c r="Y14053" s="1354"/>
      <c r="Z14053" s="1060"/>
    </row>
    <row r="14054" spans="25:26">
      <c r="Y14054" s="1354"/>
      <c r="Z14054" s="1060"/>
    </row>
    <row r="14055" spans="25:26">
      <c r="Y14055" s="1354"/>
      <c r="Z14055" s="1060"/>
    </row>
    <row r="14056" spans="25:26">
      <c r="Y14056" s="1354"/>
      <c r="Z14056" s="1060"/>
    </row>
    <row r="14057" spans="25:26">
      <c r="Y14057" s="1354"/>
      <c r="Z14057" s="1060"/>
    </row>
    <row r="14058" spans="25:26">
      <c r="Y14058" s="1354"/>
      <c r="Z14058" s="1060"/>
    </row>
    <row r="14059" spans="25:26">
      <c r="Y14059" s="1354"/>
      <c r="Z14059" s="1060"/>
    </row>
    <row r="14060" spans="25:26">
      <c r="Y14060" s="1354"/>
      <c r="Z14060" s="1060"/>
    </row>
    <row r="14061" spans="25:26">
      <c r="Y14061" s="1354"/>
      <c r="Z14061" s="1060"/>
    </row>
    <row r="14062" spans="25:26">
      <c r="Y14062" s="1354"/>
      <c r="Z14062" s="1060"/>
    </row>
    <row r="14063" spans="25:26">
      <c r="Y14063" s="1354"/>
      <c r="Z14063" s="1060"/>
    </row>
    <row r="14064" spans="25:26">
      <c r="Y14064" s="1354"/>
      <c r="Z14064" s="1060"/>
    </row>
    <row r="14065" spans="25:26">
      <c r="Y14065" s="1354"/>
      <c r="Z14065" s="1060"/>
    </row>
    <row r="14066" spans="25:26">
      <c r="Y14066" s="1354"/>
      <c r="Z14066" s="1060"/>
    </row>
    <row r="14067" spans="25:26">
      <c r="Y14067" s="1354"/>
      <c r="Z14067" s="1060"/>
    </row>
    <row r="14068" spans="25:26">
      <c r="Y14068" s="1354"/>
      <c r="Z14068" s="1060"/>
    </row>
    <row r="14069" spans="25:26">
      <c r="Y14069" s="1354"/>
      <c r="Z14069" s="1060"/>
    </row>
    <row r="14070" spans="25:26">
      <c r="Y14070" s="1354"/>
      <c r="Z14070" s="1060"/>
    </row>
    <row r="14071" spans="25:26">
      <c r="Y14071" s="1354"/>
      <c r="Z14071" s="1060"/>
    </row>
    <row r="14072" spans="25:26">
      <c r="Y14072" s="1354"/>
      <c r="Z14072" s="1060"/>
    </row>
    <row r="14073" spans="25:26">
      <c r="Y14073" s="1354"/>
      <c r="Z14073" s="1060"/>
    </row>
    <row r="14074" spans="25:26">
      <c r="Y14074" s="1354"/>
      <c r="Z14074" s="1060"/>
    </row>
    <row r="14075" spans="25:26">
      <c r="Y14075" s="1354"/>
      <c r="Z14075" s="1060"/>
    </row>
    <row r="14076" spans="25:26">
      <c r="Y14076" s="1354"/>
      <c r="Z14076" s="1060"/>
    </row>
    <row r="14077" spans="25:26">
      <c r="Y14077" s="1354"/>
      <c r="Z14077" s="1060"/>
    </row>
    <row r="14078" spans="25:26">
      <c r="Y14078" s="1354"/>
      <c r="Z14078" s="1060"/>
    </row>
    <row r="14079" spans="25:26">
      <c r="Y14079" s="1354"/>
      <c r="Z14079" s="1060"/>
    </row>
    <row r="14080" spans="25:26">
      <c r="Y14080" s="1354"/>
      <c r="Z14080" s="1060"/>
    </row>
    <row r="14081" spans="25:26">
      <c r="Y14081" s="1354"/>
      <c r="Z14081" s="1060"/>
    </row>
    <row r="14082" spans="25:26">
      <c r="Y14082" s="1354"/>
      <c r="Z14082" s="1060"/>
    </row>
    <row r="14083" spans="25:26">
      <c r="Y14083" s="1354"/>
      <c r="Z14083" s="1060"/>
    </row>
    <row r="14084" spans="25:26">
      <c r="Y14084" s="1354"/>
      <c r="Z14084" s="1060"/>
    </row>
    <row r="14085" spans="25:26">
      <c r="Y14085" s="1354"/>
      <c r="Z14085" s="1060"/>
    </row>
    <row r="14086" spans="25:26">
      <c r="Y14086" s="1354"/>
      <c r="Z14086" s="1060"/>
    </row>
    <row r="14087" spans="25:26">
      <c r="Y14087" s="1354"/>
      <c r="Z14087" s="1060"/>
    </row>
    <row r="14088" spans="25:26">
      <c r="Y14088" s="1354"/>
      <c r="Z14088" s="1060"/>
    </row>
    <row r="14089" spans="25:26">
      <c r="Y14089" s="1354"/>
      <c r="Z14089" s="1060"/>
    </row>
    <row r="14090" spans="25:26">
      <c r="Y14090" s="1354"/>
      <c r="Z14090" s="1060"/>
    </row>
    <row r="14091" spans="25:26">
      <c r="Y14091" s="1354"/>
      <c r="Z14091" s="1060"/>
    </row>
    <row r="14092" spans="25:26">
      <c r="Y14092" s="1354"/>
      <c r="Z14092" s="1060"/>
    </row>
    <row r="14093" spans="25:26">
      <c r="Y14093" s="1354"/>
      <c r="Z14093" s="1060"/>
    </row>
    <row r="14094" spans="25:26">
      <c r="Y14094" s="1354"/>
      <c r="Z14094" s="1060"/>
    </row>
    <row r="14095" spans="25:26">
      <c r="Y14095" s="1354"/>
      <c r="Z14095" s="1060"/>
    </row>
    <row r="14096" spans="25:26">
      <c r="Y14096" s="1354"/>
      <c r="Z14096" s="1060"/>
    </row>
    <row r="14097" spans="25:26">
      <c r="Y14097" s="1354"/>
      <c r="Z14097" s="1060"/>
    </row>
    <row r="14098" spans="25:26">
      <c r="Y14098" s="1354"/>
      <c r="Z14098" s="1060"/>
    </row>
    <row r="14099" spans="25:26">
      <c r="Y14099" s="1354"/>
      <c r="Z14099" s="1060"/>
    </row>
    <row r="14100" spans="25:26">
      <c r="Y14100" s="1354"/>
      <c r="Z14100" s="1060"/>
    </row>
    <row r="14101" spans="25:26">
      <c r="Y14101" s="1354"/>
      <c r="Z14101" s="1060"/>
    </row>
    <row r="14102" spans="25:26">
      <c r="Y14102" s="1354"/>
      <c r="Z14102" s="1060"/>
    </row>
    <row r="14103" spans="25:26">
      <c r="Y14103" s="1354"/>
      <c r="Z14103" s="1060"/>
    </row>
    <row r="14104" spans="25:26">
      <c r="Y14104" s="1354"/>
      <c r="Z14104" s="1060"/>
    </row>
    <row r="14105" spans="25:26">
      <c r="Y14105" s="1354"/>
      <c r="Z14105" s="1060"/>
    </row>
    <row r="14106" spans="25:26">
      <c r="Y14106" s="1354"/>
      <c r="Z14106" s="1060"/>
    </row>
    <row r="14107" spans="25:26">
      <c r="Y14107" s="1354"/>
      <c r="Z14107" s="1060"/>
    </row>
    <row r="14108" spans="25:26">
      <c r="Y14108" s="1354"/>
      <c r="Z14108" s="1060"/>
    </row>
    <row r="14109" spans="25:26">
      <c r="Y14109" s="1354"/>
      <c r="Z14109" s="1060"/>
    </row>
    <row r="14110" spans="25:26">
      <c r="Y14110" s="1354"/>
      <c r="Z14110" s="1060"/>
    </row>
    <row r="14111" spans="25:26">
      <c r="Y14111" s="1354"/>
      <c r="Z14111" s="1060"/>
    </row>
    <row r="14112" spans="25:26">
      <c r="Y14112" s="1354"/>
      <c r="Z14112" s="1060"/>
    </row>
    <row r="14113" spans="25:26">
      <c r="Y14113" s="1354"/>
      <c r="Z14113" s="1060"/>
    </row>
    <row r="14114" spans="25:26">
      <c r="Y14114" s="1354"/>
      <c r="Z14114" s="1060"/>
    </row>
    <row r="14115" spans="25:26">
      <c r="Y14115" s="1354"/>
      <c r="Z14115" s="1060"/>
    </row>
    <row r="14116" spans="25:26">
      <c r="Y14116" s="1354"/>
      <c r="Z14116" s="1060"/>
    </row>
    <row r="14117" spans="25:26">
      <c r="Y14117" s="1354"/>
      <c r="Z14117" s="1060"/>
    </row>
    <row r="14118" spans="25:26">
      <c r="Y14118" s="1354"/>
      <c r="Z14118" s="1060"/>
    </row>
    <row r="14119" spans="25:26">
      <c r="Y14119" s="1354"/>
      <c r="Z14119" s="1060"/>
    </row>
    <row r="14120" spans="25:26">
      <c r="Y14120" s="1354"/>
      <c r="Z14120" s="1060"/>
    </row>
    <row r="14121" spans="25:26">
      <c r="Y14121" s="1354"/>
      <c r="Z14121" s="1060"/>
    </row>
    <row r="14122" spans="25:26">
      <c r="Y14122" s="1354"/>
      <c r="Z14122" s="1060"/>
    </row>
    <row r="14123" spans="25:26">
      <c r="Y14123" s="1354"/>
      <c r="Z14123" s="1060"/>
    </row>
    <row r="14124" spans="25:26">
      <c r="Y14124" s="1354"/>
      <c r="Z14124" s="1060"/>
    </row>
    <row r="14125" spans="25:26">
      <c r="Y14125" s="1354"/>
      <c r="Z14125" s="1060"/>
    </row>
    <row r="14126" spans="25:26">
      <c r="Y14126" s="1354"/>
      <c r="Z14126" s="1060"/>
    </row>
    <row r="14127" spans="25:26">
      <c r="Y14127" s="1354"/>
      <c r="Z14127" s="1060"/>
    </row>
    <row r="14128" spans="25:26">
      <c r="Y14128" s="1354"/>
      <c r="Z14128" s="1060"/>
    </row>
    <row r="14129" spans="25:26">
      <c r="Y14129" s="1354"/>
      <c r="Z14129" s="1060"/>
    </row>
    <row r="14130" spans="25:26">
      <c r="Y14130" s="1354"/>
      <c r="Z14130" s="1060"/>
    </row>
    <row r="14131" spans="25:26">
      <c r="Y14131" s="1354"/>
      <c r="Z14131" s="1060"/>
    </row>
    <row r="14132" spans="25:26">
      <c r="Y14132" s="1354"/>
      <c r="Z14132" s="1060"/>
    </row>
    <row r="14133" spans="25:26">
      <c r="Y14133" s="1354"/>
      <c r="Z14133" s="1060"/>
    </row>
    <row r="14134" spans="25:26">
      <c r="Y14134" s="1354"/>
      <c r="Z14134" s="1060"/>
    </row>
    <row r="14135" spans="25:26">
      <c r="Y14135" s="1354"/>
      <c r="Z14135" s="1060"/>
    </row>
    <row r="14136" spans="25:26">
      <c r="Y14136" s="1354"/>
      <c r="Z14136" s="1060"/>
    </row>
    <row r="14137" spans="25:26">
      <c r="Y14137" s="1354"/>
      <c r="Z14137" s="1060"/>
    </row>
    <row r="14138" spans="25:26">
      <c r="Y14138" s="1354"/>
      <c r="Z14138" s="1060"/>
    </row>
    <row r="14139" spans="25:26">
      <c r="Y14139" s="1354"/>
      <c r="Z14139" s="1060"/>
    </row>
    <row r="14140" spans="25:26">
      <c r="Y14140" s="1354"/>
      <c r="Z14140" s="1060"/>
    </row>
    <row r="14141" spans="25:26">
      <c r="Y14141" s="1354"/>
      <c r="Z14141" s="1060"/>
    </row>
    <row r="14142" spans="25:26">
      <c r="Y14142" s="1354"/>
      <c r="Z14142" s="1060"/>
    </row>
    <row r="14143" spans="25:26">
      <c r="Y14143" s="1354"/>
      <c r="Z14143" s="1060"/>
    </row>
    <row r="14144" spans="25:26">
      <c r="Y14144" s="1354"/>
      <c r="Z14144" s="1060"/>
    </row>
    <row r="14145" spans="25:26">
      <c r="Y14145" s="1354"/>
      <c r="Z14145" s="1060"/>
    </row>
    <row r="14146" spans="25:26">
      <c r="Y14146" s="1354"/>
      <c r="Z14146" s="1060"/>
    </row>
    <row r="14147" spans="25:26">
      <c r="Y14147" s="1354"/>
      <c r="Z14147" s="1060"/>
    </row>
    <row r="14148" spans="25:26">
      <c r="Y14148" s="1354"/>
      <c r="Z14148" s="1060"/>
    </row>
    <row r="14149" spans="25:26">
      <c r="Y14149" s="1354"/>
      <c r="Z14149" s="1060"/>
    </row>
    <row r="14150" spans="25:26">
      <c r="Y14150" s="1354"/>
      <c r="Z14150" s="1060"/>
    </row>
    <row r="14151" spans="25:26">
      <c r="Y14151" s="1354"/>
      <c r="Z14151" s="1060"/>
    </row>
    <row r="14152" spans="25:26">
      <c r="Y14152" s="1354"/>
      <c r="Z14152" s="1060"/>
    </row>
    <row r="14153" spans="25:26">
      <c r="Y14153" s="1354"/>
      <c r="Z14153" s="1060"/>
    </row>
    <row r="14154" spans="25:26">
      <c r="Y14154" s="1354"/>
      <c r="Z14154" s="1060"/>
    </row>
    <row r="14155" spans="25:26">
      <c r="Y14155" s="1354"/>
      <c r="Z14155" s="1060"/>
    </row>
    <row r="14156" spans="25:26">
      <c r="Y14156" s="1354"/>
      <c r="Z14156" s="1060"/>
    </row>
    <row r="14157" spans="25:26">
      <c r="Y14157" s="1354"/>
      <c r="Z14157" s="1060"/>
    </row>
    <row r="14158" spans="25:26">
      <c r="Y14158" s="1354"/>
      <c r="Z14158" s="1060"/>
    </row>
    <row r="14159" spans="25:26">
      <c r="Y14159" s="1354"/>
      <c r="Z14159" s="1060"/>
    </row>
    <row r="14160" spans="25:26">
      <c r="Y14160" s="1354"/>
      <c r="Z14160" s="1060"/>
    </row>
    <row r="14161" spans="25:26">
      <c r="Y14161" s="1354"/>
      <c r="Z14161" s="1060"/>
    </row>
    <row r="14162" spans="25:26">
      <c r="Y14162" s="1354"/>
      <c r="Z14162" s="1060"/>
    </row>
    <row r="14163" spans="25:26">
      <c r="Y14163" s="1354"/>
      <c r="Z14163" s="1060"/>
    </row>
    <row r="14164" spans="25:26">
      <c r="Y14164" s="1354"/>
      <c r="Z14164" s="1060"/>
    </row>
    <row r="14165" spans="25:26">
      <c r="Y14165" s="1354"/>
      <c r="Z14165" s="1060"/>
    </row>
    <row r="14166" spans="25:26">
      <c r="Y14166" s="1354"/>
      <c r="Z14166" s="1060"/>
    </row>
    <row r="14167" spans="25:26">
      <c r="Y14167" s="1354"/>
      <c r="Z14167" s="1060"/>
    </row>
    <row r="14168" spans="25:26">
      <c r="Y14168" s="1354"/>
      <c r="Z14168" s="1060"/>
    </row>
    <row r="14169" spans="25:26">
      <c r="Y14169" s="1354"/>
      <c r="Z14169" s="1060"/>
    </row>
    <row r="14170" spans="25:26">
      <c r="Y14170" s="1354"/>
      <c r="Z14170" s="1060"/>
    </row>
    <row r="14171" spans="25:26">
      <c r="Y14171" s="1354"/>
      <c r="Z14171" s="1060"/>
    </row>
    <row r="14172" spans="25:26">
      <c r="Y14172" s="1354"/>
      <c r="Z14172" s="1060"/>
    </row>
    <row r="14173" spans="25:26">
      <c r="Y14173" s="1354"/>
      <c r="Z14173" s="1060"/>
    </row>
    <row r="14174" spans="25:26">
      <c r="Y14174" s="1354"/>
      <c r="Z14174" s="1060"/>
    </row>
    <row r="14175" spans="25:26">
      <c r="Y14175" s="1354"/>
      <c r="Z14175" s="1060"/>
    </row>
    <row r="14176" spans="25:26">
      <c r="Y14176" s="1354"/>
      <c r="Z14176" s="1060"/>
    </row>
    <row r="14177" spans="25:26">
      <c r="Y14177" s="1354"/>
      <c r="Z14177" s="1060"/>
    </row>
    <row r="14178" spans="25:26">
      <c r="Y14178" s="1354"/>
      <c r="Z14178" s="1060"/>
    </row>
    <row r="14179" spans="25:26">
      <c r="Y14179" s="1354"/>
      <c r="Z14179" s="1060"/>
    </row>
    <row r="14180" spans="25:26">
      <c r="Y14180" s="1354"/>
      <c r="Z14180" s="1060"/>
    </row>
    <row r="14181" spans="25:26">
      <c r="Y14181" s="1354"/>
      <c r="Z14181" s="1060"/>
    </row>
    <row r="14182" spans="25:26">
      <c r="Y14182" s="1354"/>
      <c r="Z14182" s="1060"/>
    </row>
    <row r="14183" spans="25:26">
      <c r="Y14183" s="1354"/>
      <c r="Z14183" s="1060"/>
    </row>
    <row r="14184" spans="25:26">
      <c r="Y14184" s="1354"/>
      <c r="Z14184" s="1060"/>
    </row>
    <row r="14185" spans="25:26">
      <c r="Y14185" s="1354"/>
      <c r="Z14185" s="1060"/>
    </row>
    <row r="14186" spans="25:26">
      <c r="Y14186" s="1354"/>
      <c r="Z14186" s="1060"/>
    </row>
    <row r="14187" spans="25:26">
      <c r="Y14187" s="1354"/>
      <c r="Z14187" s="1060"/>
    </row>
    <row r="14188" spans="25:26">
      <c r="Y14188" s="1354"/>
      <c r="Z14188" s="1060"/>
    </row>
    <row r="14189" spans="25:26">
      <c r="Y14189" s="1354"/>
      <c r="Z14189" s="1060"/>
    </row>
    <row r="14190" spans="25:26">
      <c r="Y14190" s="1354"/>
      <c r="Z14190" s="1060"/>
    </row>
    <row r="14191" spans="25:26">
      <c r="Y14191" s="1354"/>
      <c r="Z14191" s="1060"/>
    </row>
    <row r="14192" spans="25:26">
      <c r="Y14192" s="1354"/>
      <c r="Z14192" s="1060"/>
    </row>
    <row r="14193" spans="25:26">
      <c r="Y14193" s="1354"/>
      <c r="Z14193" s="1060"/>
    </row>
    <row r="14194" spans="25:26">
      <c r="Y14194" s="1354"/>
      <c r="Z14194" s="1060"/>
    </row>
    <row r="14195" spans="25:26">
      <c r="Y14195" s="1354"/>
      <c r="Z14195" s="1060"/>
    </row>
    <row r="14196" spans="25:26">
      <c r="Y14196" s="1354"/>
      <c r="Z14196" s="1060"/>
    </row>
    <row r="14197" spans="25:26">
      <c r="Y14197" s="1354"/>
      <c r="Z14197" s="1060"/>
    </row>
    <row r="14198" spans="25:26">
      <c r="Y14198" s="1354"/>
      <c r="Z14198" s="1060"/>
    </row>
    <row r="14199" spans="25:26">
      <c r="Y14199" s="1354"/>
      <c r="Z14199" s="1060"/>
    </row>
    <row r="14200" spans="25:26">
      <c r="Y14200" s="1354"/>
      <c r="Z14200" s="1060"/>
    </row>
    <row r="14201" spans="25:26">
      <c r="Y14201" s="1354"/>
      <c r="Z14201" s="1060"/>
    </row>
    <row r="14202" spans="25:26">
      <c r="Y14202" s="1354"/>
      <c r="Z14202" s="1060"/>
    </row>
    <row r="14203" spans="25:26">
      <c r="Y14203" s="1354"/>
      <c r="Z14203" s="1060"/>
    </row>
    <row r="14204" spans="25:26">
      <c r="Y14204" s="1354"/>
      <c r="Z14204" s="1060"/>
    </row>
    <row r="14205" spans="25:26">
      <c r="Y14205" s="1354"/>
      <c r="Z14205" s="1060"/>
    </row>
    <row r="14206" spans="25:26">
      <c r="Y14206" s="1354"/>
      <c r="Z14206" s="1060"/>
    </row>
    <row r="14207" spans="25:26">
      <c r="Y14207" s="1354"/>
      <c r="Z14207" s="1060"/>
    </row>
    <row r="14208" spans="25:26">
      <c r="Y14208" s="1354"/>
      <c r="Z14208" s="1060"/>
    </row>
    <row r="14209" spans="25:26">
      <c r="Y14209" s="1354"/>
      <c r="Z14209" s="1060"/>
    </row>
    <row r="14210" spans="25:26">
      <c r="Y14210" s="1354"/>
      <c r="Z14210" s="1060"/>
    </row>
    <row r="14211" spans="25:26">
      <c r="Y14211" s="1354"/>
      <c r="Z14211" s="1060"/>
    </row>
    <row r="14212" spans="25:26">
      <c r="Y14212" s="1354"/>
      <c r="Z14212" s="1060"/>
    </row>
    <row r="14213" spans="25:26">
      <c r="Y14213" s="1354"/>
      <c r="Z14213" s="1060"/>
    </row>
    <row r="14214" spans="25:26">
      <c r="Y14214" s="1354"/>
      <c r="Z14214" s="1060"/>
    </row>
    <row r="14215" spans="25:26">
      <c r="Y14215" s="1354"/>
      <c r="Z14215" s="1060"/>
    </row>
    <row r="14216" spans="25:26">
      <c r="Y14216" s="1354"/>
      <c r="Z14216" s="1060"/>
    </row>
    <row r="14217" spans="25:26">
      <c r="Y14217" s="1354"/>
      <c r="Z14217" s="1060"/>
    </row>
    <row r="14218" spans="25:26">
      <c r="Y14218" s="1354"/>
      <c r="Z14218" s="1060"/>
    </row>
    <row r="14219" spans="25:26">
      <c r="Y14219" s="1354"/>
      <c r="Z14219" s="1060"/>
    </row>
    <row r="14220" spans="25:26">
      <c r="Y14220" s="1354"/>
      <c r="Z14220" s="1060"/>
    </row>
    <row r="14221" spans="25:26">
      <c r="Y14221" s="1354"/>
      <c r="Z14221" s="1060"/>
    </row>
    <row r="14222" spans="25:26">
      <c r="Y14222" s="1354"/>
      <c r="Z14222" s="1060"/>
    </row>
    <row r="14223" spans="25:26">
      <c r="Y14223" s="1354"/>
      <c r="Z14223" s="1060"/>
    </row>
    <row r="14224" spans="25:26">
      <c r="Y14224" s="1354"/>
      <c r="Z14224" s="1060"/>
    </row>
    <row r="14225" spans="25:26">
      <c r="Y14225" s="1354"/>
      <c r="Z14225" s="1060"/>
    </row>
    <row r="14226" spans="25:26">
      <c r="Y14226" s="1354"/>
      <c r="Z14226" s="1060"/>
    </row>
    <row r="14227" spans="25:26">
      <c r="Y14227" s="1354"/>
      <c r="Z14227" s="1060"/>
    </row>
    <row r="14228" spans="25:26">
      <c r="Y14228" s="1354"/>
      <c r="Z14228" s="1060"/>
    </row>
    <row r="14229" spans="25:26">
      <c r="Y14229" s="1354"/>
      <c r="Z14229" s="1060"/>
    </row>
    <row r="14230" spans="25:26">
      <c r="Y14230" s="1354"/>
      <c r="Z14230" s="1060"/>
    </row>
    <row r="14231" spans="25:26">
      <c r="Y14231" s="1354"/>
      <c r="Z14231" s="1060"/>
    </row>
    <row r="14232" spans="25:26">
      <c r="Y14232" s="1354"/>
      <c r="Z14232" s="1060"/>
    </row>
    <row r="14233" spans="25:26">
      <c r="Y14233" s="1354"/>
      <c r="Z14233" s="1060"/>
    </row>
    <row r="14234" spans="25:26">
      <c r="Y14234" s="1354"/>
      <c r="Z14234" s="1060"/>
    </row>
    <row r="14235" spans="25:26">
      <c r="Y14235" s="1354"/>
      <c r="Z14235" s="1060"/>
    </row>
    <row r="14236" spans="25:26">
      <c r="Y14236" s="1354"/>
      <c r="Z14236" s="1060"/>
    </row>
    <row r="14237" spans="25:26">
      <c r="Y14237" s="1354"/>
      <c r="Z14237" s="1060"/>
    </row>
    <row r="14238" spans="25:26">
      <c r="Y14238" s="1354"/>
      <c r="Z14238" s="1060"/>
    </row>
    <row r="14239" spans="25:26">
      <c r="Y14239" s="1354"/>
      <c r="Z14239" s="1060"/>
    </row>
    <row r="14240" spans="25:26">
      <c r="Y14240" s="1354"/>
      <c r="Z14240" s="1060"/>
    </row>
    <row r="14241" spans="25:26">
      <c r="Y14241" s="1354"/>
      <c r="Z14241" s="1060"/>
    </row>
    <row r="14242" spans="25:26">
      <c r="Y14242" s="1354"/>
      <c r="Z14242" s="1060"/>
    </row>
    <row r="14243" spans="25:26">
      <c r="Y14243" s="1354"/>
      <c r="Z14243" s="1060"/>
    </row>
    <row r="14244" spans="25:26">
      <c r="Y14244" s="1354"/>
      <c r="Z14244" s="1060"/>
    </row>
    <row r="14245" spans="25:26">
      <c r="Y14245" s="1354"/>
      <c r="Z14245" s="1060"/>
    </row>
    <row r="14246" spans="25:26">
      <c r="Y14246" s="1354"/>
      <c r="Z14246" s="1060"/>
    </row>
    <row r="14247" spans="25:26">
      <c r="Y14247" s="1354"/>
      <c r="Z14247" s="1060"/>
    </row>
    <row r="14248" spans="25:26">
      <c r="Y14248" s="1354"/>
      <c r="Z14248" s="1060"/>
    </row>
    <row r="14249" spans="25:26">
      <c r="Y14249" s="1354"/>
      <c r="Z14249" s="1060"/>
    </row>
    <row r="14250" spans="25:26">
      <c r="Y14250" s="1354"/>
      <c r="Z14250" s="1060"/>
    </row>
    <row r="14251" spans="25:26">
      <c r="Y14251" s="1354"/>
      <c r="Z14251" s="1060"/>
    </row>
    <row r="14252" spans="25:26">
      <c r="Y14252" s="1354"/>
      <c r="Z14252" s="1060"/>
    </row>
    <row r="14253" spans="25:26">
      <c r="Y14253" s="1354"/>
      <c r="Z14253" s="1060"/>
    </row>
    <row r="14254" spans="25:26">
      <c r="Y14254" s="1354"/>
      <c r="Z14254" s="1060"/>
    </row>
    <row r="14255" spans="25:26">
      <c r="Y14255" s="1354"/>
      <c r="Z14255" s="1060"/>
    </row>
    <row r="14256" spans="25:26">
      <c r="Y14256" s="1354"/>
      <c r="Z14256" s="1060"/>
    </row>
    <row r="14257" spans="25:26">
      <c r="Y14257" s="1354"/>
      <c r="Z14257" s="1060"/>
    </row>
    <row r="14258" spans="25:26">
      <c r="Y14258" s="1354"/>
      <c r="Z14258" s="1060"/>
    </row>
    <row r="14259" spans="25:26">
      <c r="Y14259" s="1354"/>
      <c r="Z14259" s="1060"/>
    </row>
    <row r="14260" spans="25:26">
      <c r="Y14260" s="1354"/>
      <c r="Z14260" s="1060"/>
    </row>
    <row r="14261" spans="25:26">
      <c r="Y14261" s="1354"/>
      <c r="Z14261" s="1060"/>
    </row>
    <row r="14262" spans="25:26">
      <c r="Y14262" s="1354"/>
      <c r="Z14262" s="1060"/>
    </row>
    <row r="14263" spans="25:26">
      <c r="Y14263" s="1354"/>
      <c r="Z14263" s="1060"/>
    </row>
    <row r="14264" spans="25:26">
      <c r="Y14264" s="1354"/>
      <c r="Z14264" s="1060"/>
    </row>
    <row r="14265" spans="25:26">
      <c r="Y14265" s="1354"/>
      <c r="Z14265" s="1060"/>
    </row>
    <row r="14266" spans="25:26">
      <c r="Y14266" s="1354"/>
      <c r="Z14266" s="1060"/>
    </row>
    <row r="14267" spans="25:26">
      <c r="Y14267" s="1354"/>
      <c r="Z14267" s="1060"/>
    </row>
    <row r="14268" spans="25:26">
      <c r="Y14268" s="1354"/>
      <c r="Z14268" s="1060"/>
    </row>
    <row r="14269" spans="25:26">
      <c r="Y14269" s="1354"/>
      <c r="Z14269" s="1060"/>
    </row>
    <row r="14270" spans="25:26">
      <c r="Y14270" s="1354"/>
      <c r="Z14270" s="1060"/>
    </row>
    <row r="14271" spans="25:26">
      <c r="Y14271" s="1354"/>
      <c r="Z14271" s="1060"/>
    </row>
    <row r="14272" spans="25:26">
      <c r="Y14272" s="1354"/>
      <c r="Z14272" s="1060"/>
    </row>
    <row r="14273" spans="25:26">
      <c r="Y14273" s="1354"/>
      <c r="Z14273" s="1060"/>
    </row>
    <row r="14274" spans="25:26">
      <c r="Y14274" s="1354"/>
      <c r="Z14274" s="1060"/>
    </row>
    <row r="14275" spans="25:26">
      <c r="Y14275" s="1354"/>
      <c r="Z14275" s="1060"/>
    </row>
    <row r="14276" spans="25:26">
      <c r="Y14276" s="1354"/>
      <c r="Z14276" s="1060"/>
    </row>
    <row r="14277" spans="25:26">
      <c r="Y14277" s="1354"/>
      <c r="Z14277" s="1060"/>
    </row>
    <row r="14278" spans="25:26">
      <c r="Y14278" s="1354"/>
      <c r="Z14278" s="1060"/>
    </row>
    <row r="14279" spans="25:26">
      <c r="Y14279" s="1354"/>
      <c r="Z14279" s="1060"/>
    </row>
    <row r="14280" spans="25:26">
      <c r="Y14280" s="1354"/>
      <c r="Z14280" s="1060"/>
    </row>
    <row r="14281" spans="25:26">
      <c r="Y14281" s="1354"/>
      <c r="Z14281" s="1060"/>
    </row>
    <row r="14282" spans="25:26">
      <c r="Y14282" s="1354"/>
      <c r="Z14282" s="1060"/>
    </row>
    <row r="14283" spans="25:26">
      <c r="Y14283" s="1354"/>
      <c r="Z14283" s="1060"/>
    </row>
    <row r="14284" spans="25:26">
      <c r="Y14284" s="1354"/>
      <c r="Z14284" s="1060"/>
    </row>
    <row r="14285" spans="25:26">
      <c r="Y14285" s="1354"/>
      <c r="Z14285" s="1060"/>
    </row>
    <row r="14286" spans="25:26">
      <c r="Y14286" s="1354"/>
      <c r="Z14286" s="1060"/>
    </row>
    <row r="14287" spans="25:26">
      <c r="Y14287" s="1354"/>
      <c r="Z14287" s="1060"/>
    </row>
    <row r="14288" spans="25:26">
      <c r="Y14288" s="1354"/>
      <c r="Z14288" s="1060"/>
    </row>
    <row r="14289" spans="25:26">
      <c r="Y14289" s="1354"/>
      <c r="Z14289" s="1060"/>
    </row>
    <row r="14290" spans="25:26">
      <c r="Y14290" s="1354"/>
      <c r="Z14290" s="1060"/>
    </row>
    <row r="14291" spans="25:26">
      <c r="Y14291" s="1354"/>
      <c r="Z14291" s="1060"/>
    </row>
    <row r="14292" spans="25:26">
      <c r="Y14292" s="1354"/>
      <c r="Z14292" s="1060"/>
    </row>
    <row r="14293" spans="25:26">
      <c r="Y14293" s="1354"/>
      <c r="Z14293" s="1060"/>
    </row>
    <row r="14294" spans="25:26">
      <c r="Y14294" s="1354"/>
      <c r="Z14294" s="1060"/>
    </row>
    <row r="14295" spans="25:26">
      <c r="Y14295" s="1354"/>
      <c r="Z14295" s="1060"/>
    </row>
    <row r="14296" spans="25:26">
      <c r="Y14296" s="1354"/>
      <c r="Z14296" s="1060"/>
    </row>
    <row r="14297" spans="25:26">
      <c r="Y14297" s="1354"/>
      <c r="Z14297" s="1060"/>
    </row>
    <row r="14298" spans="25:26">
      <c r="Y14298" s="1354"/>
      <c r="Z14298" s="1060"/>
    </row>
    <row r="14299" spans="25:26">
      <c r="Y14299" s="1354"/>
      <c r="Z14299" s="1060"/>
    </row>
    <row r="14300" spans="25:26">
      <c r="Y14300" s="1354"/>
      <c r="Z14300" s="1060"/>
    </row>
    <row r="14301" spans="25:26">
      <c r="Y14301" s="1354"/>
      <c r="Z14301" s="1060"/>
    </row>
    <row r="14302" spans="25:26">
      <c r="Y14302" s="1354"/>
      <c r="Z14302" s="1060"/>
    </row>
    <row r="14303" spans="25:26">
      <c r="Y14303" s="1354"/>
      <c r="Z14303" s="1060"/>
    </row>
    <row r="14304" spans="25:26">
      <c r="Y14304" s="1354"/>
      <c r="Z14304" s="1060"/>
    </row>
    <row r="14305" spans="25:26">
      <c r="Y14305" s="1354"/>
      <c r="Z14305" s="1060"/>
    </row>
    <row r="14306" spans="25:26">
      <c r="Y14306" s="1354"/>
      <c r="Z14306" s="1060"/>
    </row>
    <row r="14307" spans="25:26">
      <c r="Y14307" s="1354"/>
      <c r="Z14307" s="1060"/>
    </row>
    <row r="14308" spans="25:26">
      <c r="Y14308" s="1354"/>
      <c r="Z14308" s="1060"/>
    </row>
    <row r="14309" spans="25:26">
      <c r="Y14309" s="1354"/>
      <c r="Z14309" s="1060"/>
    </row>
    <row r="14310" spans="25:26">
      <c r="Y14310" s="1354"/>
      <c r="Z14310" s="1060"/>
    </row>
    <row r="14311" spans="25:26">
      <c r="Y14311" s="1354"/>
      <c r="Z14311" s="1060"/>
    </row>
    <row r="14312" spans="25:26">
      <c r="Y14312" s="1354"/>
      <c r="Z14312" s="1060"/>
    </row>
    <row r="14313" spans="25:26">
      <c r="Y14313" s="1354"/>
      <c r="Z14313" s="1060"/>
    </row>
    <row r="14314" spans="25:26">
      <c r="Y14314" s="1354"/>
      <c r="Z14314" s="1060"/>
    </row>
    <row r="14315" spans="25:26">
      <c r="Y14315" s="1354"/>
      <c r="Z14315" s="1060"/>
    </row>
    <row r="14316" spans="25:26">
      <c r="Y14316" s="1354"/>
      <c r="Z14316" s="1060"/>
    </row>
    <row r="14317" spans="25:26">
      <c r="Y14317" s="1354"/>
      <c r="Z14317" s="1060"/>
    </row>
    <row r="14318" spans="25:26">
      <c r="Y14318" s="1354"/>
      <c r="Z14318" s="1060"/>
    </row>
    <row r="14319" spans="25:26">
      <c r="Y14319" s="1354"/>
      <c r="Z14319" s="1060"/>
    </row>
    <row r="14320" spans="25:26">
      <c r="Y14320" s="1354"/>
      <c r="Z14320" s="1060"/>
    </row>
    <row r="14321" spans="25:26">
      <c r="Y14321" s="1354"/>
      <c r="Z14321" s="1060"/>
    </row>
    <row r="14322" spans="25:26">
      <c r="Y14322" s="1354"/>
      <c r="Z14322" s="1060"/>
    </row>
    <row r="14323" spans="25:26">
      <c r="Y14323" s="1354"/>
      <c r="Z14323" s="1060"/>
    </row>
    <row r="14324" spans="25:26">
      <c r="Y14324" s="1354"/>
      <c r="Z14324" s="1060"/>
    </row>
    <row r="14325" spans="25:26">
      <c r="Y14325" s="1354"/>
      <c r="Z14325" s="1060"/>
    </row>
    <row r="14326" spans="25:26">
      <c r="Y14326" s="1354"/>
      <c r="Z14326" s="1060"/>
    </row>
    <row r="14327" spans="25:26">
      <c r="Y14327" s="1354"/>
      <c r="Z14327" s="1060"/>
    </row>
    <row r="14328" spans="25:26">
      <c r="Y14328" s="1354"/>
      <c r="Z14328" s="1060"/>
    </row>
    <row r="14329" spans="25:26">
      <c r="Y14329" s="1354"/>
      <c r="Z14329" s="1060"/>
    </row>
    <row r="14330" spans="25:26">
      <c r="Y14330" s="1354"/>
      <c r="Z14330" s="1060"/>
    </row>
    <row r="14331" spans="25:26">
      <c r="Y14331" s="1354"/>
      <c r="Z14331" s="1060"/>
    </row>
    <row r="14332" spans="25:26">
      <c r="Y14332" s="1354"/>
      <c r="Z14332" s="1060"/>
    </row>
    <row r="14333" spans="25:26">
      <c r="Y14333" s="1354"/>
      <c r="Z14333" s="1060"/>
    </row>
    <row r="14334" spans="25:26">
      <c r="Y14334" s="1354"/>
      <c r="Z14334" s="1060"/>
    </row>
    <row r="14335" spans="25:26">
      <c r="Y14335" s="1354"/>
      <c r="Z14335" s="1060"/>
    </row>
    <row r="14336" spans="25:26">
      <c r="Y14336" s="1354"/>
      <c r="Z14336" s="1060"/>
    </row>
    <row r="14337" spans="25:26">
      <c r="Y14337" s="1354"/>
      <c r="Z14337" s="1060"/>
    </row>
    <row r="14338" spans="25:26">
      <c r="Y14338" s="1354"/>
      <c r="Z14338" s="1060"/>
    </row>
    <row r="14339" spans="25:26">
      <c r="Y14339" s="1354"/>
      <c r="Z14339" s="1060"/>
    </row>
    <row r="14340" spans="25:26">
      <c r="Y14340" s="1354"/>
      <c r="Z14340" s="1060"/>
    </row>
    <row r="14341" spans="25:26">
      <c r="Y14341" s="1354"/>
      <c r="Z14341" s="1060"/>
    </row>
    <row r="14342" spans="25:26">
      <c r="Y14342" s="1354"/>
      <c r="Z14342" s="1060"/>
    </row>
    <row r="14343" spans="25:26">
      <c r="Y14343" s="1354"/>
      <c r="Z14343" s="1060"/>
    </row>
    <row r="14344" spans="25:26">
      <c r="Y14344" s="1354"/>
      <c r="Z14344" s="1060"/>
    </row>
    <row r="14345" spans="25:26">
      <c r="Y14345" s="1354"/>
      <c r="Z14345" s="1060"/>
    </row>
    <row r="14346" spans="25:26">
      <c r="Y14346" s="1354"/>
      <c r="Z14346" s="1060"/>
    </row>
    <row r="14347" spans="25:26">
      <c r="Y14347" s="1354"/>
      <c r="Z14347" s="1060"/>
    </row>
    <row r="14348" spans="25:26">
      <c r="Y14348" s="1354"/>
      <c r="Z14348" s="1060"/>
    </row>
    <row r="14349" spans="25:26">
      <c r="Y14349" s="1354"/>
      <c r="Z14349" s="1060"/>
    </row>
    <row r="14350" spans="25:26">
      <c r="Y14350" s="1354"/>
      <c r="Z14350" s="1060"/>
    </row>
    <row r="14351" spans="25:26">
      <c r="Y14351" s="1354"/>
      <c r="Z14351" s="1060"/>
    </row>
    <row r="14352" spans="25:26">
      <c r="Y14352" s="1354"/>
      <c r="Z14352" s="1060"/>
    </row>
    <row r="14353" spans="25:26">
      <c r="Y14353" s="1354"/>
      <c r="Z14353" s="1060"/>
    </row>
    <row r="14354" spans="25:26">
      <c r="Y14354" s="1354"/>
      <c r="Z14354" s="1060"/>
    </row>
    <row r="14355" spans="25:26">
      <c r="Y14355" s="1354"/>
      <c r="Z14355" s="1060"/>
    </row>
    <row r="14356" spans="25:26">
      <c r="Y14356" s="1354"/>
      <c r="Z14356" s="1060"/>
    </row>
    <row r="14357" spans="25:26">
      <c r="Y14357" s="1354"/>
      <c r="Z14357" s="1060"/>
    </row>
    <row r="14358" spans="25:26">
      <c r="Y14358" s="1354"/>
      <c r="Z14358" s="1060"/>
    </row>
    <row r="14359" spans="25:26">
      <c r="Y14359" s="1354"/>
      <c r="Z14359" s="1060"/>
    </row>
    <row r="14360" spans="25:26">
      <c r="Y14360" s="1354"/>
      <c r="Z14360" s="1060"/>
    </row>
    <row r="14361" spans="25:26">
      <c r="Y14361" s="1354"/>
      <c r="Z14361" s="1060"/>
    </row>
    <row r="14362" spans="25:26">
      <c r="Y14362" s="1354"/>
      <c r="Z14362" s="1060"/>
    </row>
    <row r="14363" spans="25:26">
      <c r="Y14363" s="1354"/>
      <c r="Z14363" s="1060"/>
    </row>
    <row r="14364" spans="25:26">
      <c r="Y14364" s="1354"/>
      <c r="Z14364" s="1060"/>
    </row>
    <row r="14365" spans="25:26">
      <c r="Y14365" s="1354"/>
      <c r="Z14365" s="1060"/>
    </row>
    <row r="14366" spans="25:26">
      <c r="Y14366" s="1354"/>
      <c r="Z14366" s="1060"/>
    </row>
    <row r="14367" spans="25:26">
      <c r="Y14367" s="1354"/>
      <c r="Z14367" s="1060"/>
    </row>
    <row r="14368" spans="25:26">
      <c r="Y14368" s="1354"/>
      <c r="Z14368" s="1060"/>
    </row>
    <row r="14369" spans="25:26">
      <c r="Y14369" s="1354"/>
      <c r="Z14369" s="1060"/>
    </row>
    <row r="14370" spans="25:26">
      <c r="Y14370" s="1354"/>
      <c r="Z14370" s="1060"/>
    </row>
    <row r="14371" spans="25:26">
      <c r="Y14371" s="1354"/>
      <c r="Z14371" s="1060"/>
    </row>
    <row r="14372" spans="25:26">
      <c r="Y14372" s="1354"/>
      <c r="Z14372" s="1060"/>
    </row>
    <row r="14373" spans="25:26">
      <c r="Y14373" s="1354"/>
      <c r="Z14373" s="1060"/>
    </row>
    <row r="14374" spans="25:26">
      <c r="Y14374" s="1354"/>
      <c r="Z14374" s="1060"/>
    </row>
    <row r="14375" spans="25:26">
      <c r="Y14375" s="1354"/>
      <c r="Z14375" s="1060"/>
    </row>
    <row r="14376" spans="25:26">
      <c r="Y14376" s="1354"/>
      <c r="Z14376" s="1060"/>
    </row>
    <row r="14377" spans="25:26">
      <c r="Y14377" s="1354"/>
      <c r="Z14377" s="1060"/>
    </row>
    <row r="14378" spans="25:26">
      <c r="Y14378" s="1354"/>
      <c r="Z14378" s="1060"/>
    </row>
    <row r="14379" spans="25:26">
      <c r="Y14379" s="1354"/>
      <c r="Z14379" s="1060"/>
    </row>
    <row r="14380" spans="25:26">
      <c r="Y14380" s="1354"/>
      <c r="Z14380" s="1060"/>
    </row>
    <row r="14381" spans="25:26">
      <c r="Y14381" s="1354"/>
      <c r="Z14381" s="1060"/>
    </row>
    <row r="14382" spans="25:26">
      <c r="Y14382" s="1354"/>
      <c r="Z14382" s="1060"/>
    </row>
    <row r="14383" spans="25:26">
      <c r="Y14383" s="1354"/>
      <c r="Z14383" s="1060"/>
    </row>
    <row r="14384" spans="25:26">
      <c r="Y14384" s="1354"/>
      <c r="Z14384" s="1060"/>
    </row>
    <row r="14385" spans="25:26">
      <c r="Y14385" s="1354"/>
      <c r="Z14385" s="1060"/>
    </row>
    <row r="14386" spans="25:26">
      <c r="Y14386" s="1354"/>
      <c r="Z14386" s="1060"/>
    </row>
    <row r="14387" spans="25:26">
      <c r="Y14387" s="1354"/>
      <c r="Z14387" s="1060"/>
    </row>
    <row r="14388" spans="25:26">
      <c r="Y14388" s="1354"/>
      <c r="Z14388" s="1060"/>
    </row>
    <row r="14389" spans="25:26">
      <c r="Y14389" s="1354"/>
      <c r="Z14389" s="1060"/>
    </row>
    <row r="14390" spans="25:26">
      <c r="Y14390" s="1354"/>
      <c r="Z14390" s="1060"/>
    </row>
    <row r="14391" spans="25:26">
      <c r="Y14391" s="1354"/>
      <c r="Z14391" s="1060"/>
    </row>
    <row r="14392" spans="25:26">
      <c r="Y14392" s="1354"/>
      <c r="Z14392" s="1060"/>
    </row>
    <row r="14393" spans="25:26">
      <c r="Y14393" s="1354"/>
      <c r="Z14393" s="1060"/>
    </row>
    <row r="14394" spans="25:26">
      <c r="Y14394" s="1354"/>
      <c r="Z14394" s="1060"/>
    </row>
    <row r="14395" spans="25:26">
      <c r="Y14395" s="1354"/>
      <c r="Z14395" s="1060"/>
    </row>
    <row r="14396" spans="25:26">
      <c r="Y14396" s="1354"/>
      <c r="Z14396" s="1060"/>
    </row>
    <row r="14397" spans="25:26">
      <c r="Y14397" s="1354"/>
      <c r="Z14397" s="1060"/>
    </row>
    <row r="14398" spans="25:26">
      <c r="Y14398" s="1354"/>
      <c r="Z14398" s="1060"/>
    </row>
    <row r="14399" spans="25:26">
      <c r="Y14399" s="1354"/>
      <c r="Z14399" s="1060"/>
    </row>
    <row r="14400" spans="25:26">
      <c r="Y14400" s="1354"/>
      <c r="Z14400" s="1060"/>
    </row>
    <row r="14401" spans="25:26">
      <c r="Y14401" s="1354"/>
      <c r="Z14401" s="1060"/>
    </row>
    <row r="14402" spans="25:26">
      <c r="Y14402" s="1354"/>
      <c r="Z14402" s="1060"/>
    </row>
    <row r="14403" spans="25:26">
      <c r="Y14403" s="1354"/>
      <c r="Z14403" s="1060"/>
    </row>
    <row r="14404" spans="25:26">
      <c r="Y14404" s="1354"/>
      <c r="Z14404" s="1060"/>
    </row>
    <row r="14405" spans="25:26">
      <c r="Y14405" s="1354"/>
      <c r="Z14405" s="1060"/>
    </row>
    <row r="14406" spans="25:26">
      <c r="Y14406" s="1354"/>
      <c r="Z14406" s="1060"/>
    </row>
    <row r="14407" spans="25:26">
      <c r="Y14407" s="1354"/>
      <c r="Z14407" s="1060"/>
    </row>
    <row r="14408" spans="25:26">
      <c r="Y14408" s="1354"/>
      <c r="Z14408" s="1060"/>
    </row>
    <row r="14409" spans="25:26">
      <c r="Y14409" s="1354"/>
      <c r="Z14409" s="1060"/>
    </row>
    <row r="14410" spans="25:26">
      <c r="Y14410" s="1354"/>
      <c r="Z14410" s="1060"/>
    </row>
    <row r="14411" spans="25:26">
      <c r="Y14411" s="1354"/>
      <c r="Z14411" s="1060"/>
    </row>
    <row r="14412" spans="25:26">
      <c r="Y14412" s="1354"/>
      <c r="Z14412" s="1060"/>
    </row>
    <row r="14413" spans="25:26">
      <c r="Y14413" s="1354"/>
      <c r="Z14413" s="1060"/>
    </row>
    <row r="14414" spans="25:26">
      <c r="Y14414" s="1354"/>
      <c r="Z14414" s="1060"/>
    </row>
    <row r="14415" spans="25:26">
      <c r="Y14415" s="1354"/>
      <c r="Z14415" s="1060"/>
    </row>
    <row r="14416" spans="25:26">
      <c r="Y14416" s="1354"/>
      <c r="Z14416" s="1060"/>
    </row>
    <row r="14417" spans="25:26">
      <c r="Y14417" s="1354"/>
      <c r="Z14417" s="1060"/>
    </row>
    <row r="14418" spans="25:26">
      <c r="Y14418" s="1354"/>
      <c r="Z14418" s="1060"/>
    </row>
    <row r="14419" spans="25:26">
      <c r="Y14419" s="1354"/>
      <c r="Z14419" s="1060"/>
    </row>
    <row r="14420" spans="25:26">
      <c r="Y14420" s="1354"/>
      <c r="Z14420" s="1060"/>
    </row>
    <row r="14421" spans="25:26">
      <c r="Y14421" s="1354"/>
      <c r="Z14421" s="1060"/>
    </row>
    <row r="14422" spans="25:26">
      <c r="Y14422" s="1354"/>
      <c r="Z14422" s="1060"/>
    </row>
    <row r="14423" spans="25:26">
      <c r="Y14423" s="1354"/>
      <c r="Z14423" s="1060"/>
    </row>
    <row r="14424" spans="25:26">
      <c r="Y14424" s="1354"/>
      <c r="Z14424" s="1060"/>
    </row>
    <row r="14425" spans="25:26">
      <c r="Y14425" s="1354"/>
      <c r="Z14425" s="1060"/>
    </row>
    <row r="14426" spans="25:26">
      <c r="Y14426" s="1354"/>
      <c r="Z14426" s="1060"/>
    </row>
    <row r="14427" spans="25:26">
      <c r="Y14427" s="1354"/>
      <c r="Z14427" s="1060"/>
    </row>
    <row r="14428" spans="25:26">
      <c r="Y14428" s="1354"/>
      <c r="Z14428" s="1060"/>
    </row>
    <row r="14429" spans="25:26">
      <c r="Y14429" s="1354"/>
      <c r="Z14429" s="1060"/>
    </row>
    <row r="14430" spans="25:26">
      <c r="Y14430" s="1354"/>
      <c r="Z14430" s="1060"/>
    </row>
    <row r="14431" spans="25:26">
      <c r="Y14431" s="1354"/>
      <c r="Z14431" s="1060"/>
    </row>
    <row r="14432" spans="25:26">
      <c r="Y14432" s="1354"/>
      <c r="Z14432" s="1060"/>
    </row>
    <row r="14433" spans="25:26">
      <c r="Y14433" s="1354"/>
      <c r="Z14433" s="1060"/>
    </row>
    <row r="14434" spans="25:26">
      <c r="Y14434" s="1354"/>
      <c r="Z14434" s="1060"/>
    </row>
    <row r="14435" spans="25:26">
      <c r="Y14435" s="1354"/>
      <c r="Z14435" s="1060"/>
    </row>
    <row r="14436" spans="25:26">
      <c r="Y14436" s="1354"/>
      <c r="Z14436" s="1060"/>
    </row>
    <row r="14437" spans="25:26">
      <c r="Y14437" s="1354"/>
      <c r="Z14437" s="1060"/>
    </row>
    <row r="14438" spans="25:26">
      <c r="Y14438" s="1354"/>
      <c r="Z14438" s="1060"/>
    </row>
    <row r="14439" spans="25:26">
      <c r="Y14439" s="1354"/>
      <c r="Z14439" s="1060"/>
    </row>
    <row r="14440" spans="25:26">
      <c r="Y14440" s="1354"/>
      <c r="Z14440" s="1060"/>
    </row>
    <row r="14441" spans="25:26">
      <c r="Y14441" s="1354"/>
      <c r="Z14441" s="1060"/>
    </row>
    <row r="14442" spans="25:26">
      <c r="Y14442" s="1354"/>
      <c r="Z14442" s="1060"/>
    </row>
    <row r="14443" spans="25:26">
      <c r="Y14443" s="1354"/>
      <c r="Z14443" s="1060"/>
    </row>
    <row r="14444" spans="25:26">
      <c r="Y14444" s="1354"/>
      <c r="Z14444" s="1060"/>
    </row>
    <row r="14445" spans="25:26">
      <c r="Y14445" s="1354"/>
      <c r="Z14445" s="1060"/>
    </row>
    <row r="14446" spans="25:26">
      <c r="Y14446" s="1354"/>
      <c r="Z14446" s="1060"/>
    </row>
    <row r="14447" spans="25:26">
      <c r="Y14447" s="1354"/>
      <c r="Z14447" s="1060"/>
    </row>
    <row r="14448" spans="25:26">
      <c r="Y14448" s="1354"/>
      <c r="Z14448" s="1060"/>
    </row>
    <row r="14449" spans="25:26">
      <c r="Y14449" s="1354"/>
      <c r="Z14449" s="1060"/>
    </row>
    <row r="14450" spans="25:26">
      <c r="Y14450" s="1354"/>
      <c r="Z14450" s="1060"/>
    </row>
    <row r="14451" spans="25:26">
      <c r="Y14451" s="1354"/>
      <c r="Z14451" s="1060"/>
    </row>
    <row r="14452" spans="25:26">
      <c r="Y14452" s="1354"/>
      <c r="Z14452" s="1060"/>
    </row>
    <row r="14453" spans="25:26">
      <c r="Y14453" s="1354"/>
      <c r="Z14453" s="1060"/>
    </row>
    <row r="14454" spans="25:26">
      <c r="Y14454" s="1354"/>
      <c r="Z14454" s="1060"/>
    </row>
    <row r="14455" spans="25:26">
      <c r="Y14455" s="1354"/>
      <c r="Z14455" s="1060"/>
    </row>
    <row r="14456" spans="25:26">
      <c r="Y14456" s="1354"/>
      <c r="Z14456" s="1060"/>
    </row>
    <row r="14457" spans="25:26">
      <c r="Y14457" s="1354"/>
      <c r="Z14457" s="1060"/>
    </row>
    <row r="14458" spans="25:26">
      <c r="Y14458" s="1354"/>
      <c r="Z14458" s="1060"/>
    </row>
    <row r="14459" spans="25:26">
      <c r="Y14459" s="1354"/>
      <c r="Z14459" s="1060"/>
    </row>
    <row r="14460" spans="25:26">
      <c r="Y14460" s="1354"/>
      <c r="Z14460" s="1060"/>
    </row>
    <row r="14461" spans="25:26">
      <c r="Y14461" s="1354"/>
      <c r="Z14461" s="1060"/>
    </row>
    <row r="14462" spans="25:26">
      <c r="Y14462" s="1354"/>
      <c r="Z14462" s="1060"/>
    </row>
    <row r="14463" spans="25:26">
      <c r="Y14463" s="1354"/>
      <c r="Z14463" s="1060"/>
    </row>
    <row r="14464" spans="25:26">
      <c r="Y14464" s="1354"/>
      <c r="Z14464" s="1060"/>
    </row>
    <row r="14465" spans="25:26">
      <c r="Y14465" s="1354"/>
      <c r="Z14465" s="1060"/>
    </row>
    <row r="14466" spans="25:26">
      <c r="Y14466" s="1354"/>
      <c r="Z14466" s="1060"/>
    </row>
    <row r="14467" spans="25:26">
      <c r="Y14467" s="1354"/>
      <c r="Z14467" s="1060"/>
    </row>
    <row r="14468" spans="25:26">
      <c r="Y14468" s="1354"/>
      <c r="Z14468" s="1060"/>
    </row>
    <row r="14469" spans="25:26">
      <c r="Y14469" s="1354"/>
      <c r="Z14469" s="1060"/>
    </row>
    <row r="14470" spans="25:26">
      <c r="Y14470" s="1354"/>
      <c r="Z14470" s="1060"/>
    </row>
    <row r="14471" spans="25:26">
      <c r="Y14471" s="1354"/>
      <c r="Z14471" s="1060"/>
    </row>
    <row r="14472" spans="25:26">
      <c r="Y14472" s="1354"/>
      <c r="Z14472" s="1060"/>
    </row>
    <row r="14473" spans="25:26">
      <c r="Y14473" s="1354"/>
      <c r="Z14473" s="1060"/>
    </row>
    <row r="14474" spans="25:26">
      <c r="Y14474" s="1354"/>
      <c r="Z14474" s="1060"/>
    </row>
    <row r="14475" spans="25:26">
      <c r="Y14475" s="1354"/>
      <c r="Z14475" s="1060"/>
    </row>
    <row r="14476" spans="25:26">
      <c r="Y14476" s="1354"/>
      <c r="Z14476" s="1060"/>
    </row>
    <row r="14477" spans="25:26">
      <c r="Y14477" s="1354"/>
      <c r="Z14477" s="1060"/>
    </row>
    <row r="14478" spans="25:26">
      <c r="Y14478" s="1354"/>
      <c r="Z14478" s="1060"/>
    </row>
    <row r="14479" spans="25:26">
      <c r="Y14479" s="1354"/>
      <c r="Z14479" s="1060"/>
    </row>
    <row r="14480" spans="25:26">
      <c r="Y14480" s="1354"/>
      <c r="Z14480" s="1060"/>
    </row>
    <row r="14481" spans="25:26">
      <c r="Y14481" s="1354"/>
      <c r="Z14481" s="1060"/>
    </row>
    <row r="14482" spans="25:26">
      <c r="Y14482" s="1354"/>
      <c r="Z14482" s="1060"/>
    </row>
    <row r="14483" spans="25:26">
      <c r="Y14483" s="1354"/>
      <c r="Z14483" s="1060"/>
    </row>
    <row r="14484" spans="25:26">
      <c r="Y14484" s="1354"/>
      <c r="Z14484" s="1060"/>
    </row>
    <row r="14485" spans="25:26">
      <c r="Y14485" s="1354"/>
      <c r="Z14485" s="1060"/>
    </row>
    <row r="14486" spans="25:26">
      <c r="Y14486" s="1354"/>
      <c r="Z14486" s="1060"/>
    </row>
    <row r="14487" spans="25:26">
      <c r="Y14487" s="1354"/>
      <c r="Z14487" s="1060"/>
    </row>
    <row r="14488" spans="25:26">
      <c r="Y14488" s="1354"/>
      <c r="Z14488" s="1060"/>
    </row>
    <row r="14489" spans="25:26">
      <c r="Y14489" s="1354"/>
      <c r="Z14489" s="1060"/>
    </row>
    <row r="14490" spans="25:26">
      <c r="Y14490" s="1354"/>
      <c r="Z14490" s="1060"/>
    </row>
    <row r="14491" spans="25:26">
      <c r="Y14491" s="1354"/>
      <c r="Z14491" s="1060"/>
    </row>
    <row r="14492" spans="25:26">
      <c r="Y14492" s="1354"/>
      <c r="Z14492" s="1060"/>
    </row>
    <row r="14493" spans="25:26">
      <c r="Y14493" s="1354"/>
      <c r="Z14493" s="1060"/>
    </row>
    <row r="14494" spans="25:26">
      <c r="Y14494" s="1354"/>
      <c r="Z14494" s="1060"/>
    </row>
    <row r="14495" spans="25:26">
      <c r="Y14495" s="1354"/>
      <c r="Z14495" s="1060"/>
    </row>
    <row r="14496" spans="25:26">
      <c r="Y14496" s="1354"/>
      <c r="Z14496" s="1060"/>
    </row>
    <row r="14497" spans="25:26">
      <c r="Y14497" s="1354"/>
      <c r="Z14497" s="1060"/>
    </row>
    <row r="14498" spans="25:26">
      <c r="Y14498" s="1354"/>
      <c r="Z14498" s="1060"/>
    </row>
    <row r="14499" spans="25:26">
      <c r="Y14499" s="1354"/>
      <c r="Z14499" s="1060"/>
    </row>
    <row r="14500" spans="25:26">
      <c r="Y14500" s="1354"/>
      <c r="Z14500" s="1060"/>
    </row>
    <row r="14501" spans="25:26">
      <c r="Y14501" s="1354"/>
      <c r="Z14501" s="1060"/>
    </row>
    <row r="14502" spans="25:26">
      <c r="Y14502" s="1354"/>
      <c r="Z14502" s="1060"/>
    </row>
    <row r="14503" spans="25:26">
      <c r="Y14503" s="1354"/>
      <c r="Z14503" s="1060"/>
    </row>
    <row r="14504" spans="25:26">
      <c r="Y14504" s="1354"/>
      <c r="Z14504" s="1060"/>
    </row>
    <row r="14505" spans="25:26">
      <c r="Y14505" s="1354"/>
      <c r="Z14505" s="1060"/>
    </row>
    <row r="14506" spans="25:26">
      <c r="Y14506" s="1354"/>
      <c r="Z14506" s="1060"/>
    </row>
    <row r="14507" spans="25:26">
      <c r="Y14507" s="1354"/>
      <c r="Z14507" s="1060"/>
    </row>
    <row r="14508" spans="25:26">
      <c r="Y14508" s="1354"/>
      <c r="Z14508" s="1060"/>
    </row>
    <row r="14509" spans="25:26">
      <c r="Y14509" s="1354"/>
      <c r="Z14509" s="1060"/>
    </row>
    <row r="14510" spans="25:26">
      <c r="Y14510" s="1354"/>
      <c r="Z14510" s="1060"/>
    </row>
    <row r="14511" spans="25:26">
      <c r="Y14511" s="1354"/>
      <c r="Z14511" s="1060"/>
    </row>
    <row r="14512" spans="25:26">
      <c r="Y14512" s="1354"/>
      <c r="Z14512" s="1060"/>
    </row>
    <row r="14513" spans="25:26">
      <c r="Y14513" s="1354"/>
      <c r="Z14513" s="1060"/>
    </row>
    <row r="14514" spans="25:26">
      <c r="Y14514" s="1354"/>
      <c r="Z14514" s="1060"/>
    </row>
    <row r="14515" spans="25:26">
      <c r="Y14515" s="1354"/>
      <c r="Z14515" s="1060"/>
    </row>
    <row r="14516" spans="25:26">
      <c r="Y14516" s="1354"/>
      <c r="Z14516" s="1060"/>
    </row>
    <row r="14517" spans="25:26">
      <c r="Y14517" s="1354"/>
      <c r="Z14517" s="1060"/>
    </row>
    <row r="14518" spans="25:26">
      <c r="Y14518" s="1354"/>
      <c r="Z14518" s="1060"/>
    </row>
    <row r="14519" spans="25:26">
      <c r="Y14519" s="1354"/>
      <c r="Z14519" s="1060"/>
    </row>
    <row r="14520" spans="25:26">
      <c r="Y14520" s="1354"/>
      <c r="Z14520" s="1060"/>
    </row>
    <row r="14521" spans="25:26">
      <c r="Y14521" s="1354"/>
      <c r="Z14521" s="1060"/>
    </row>
    <row r="14522" spans="25:26">
      <c r="Y14522" s="1354"/>
      <c r="Z14522" s="1060"/>
    </row>
    <row r="14523" spans="25:26">
      <c r="Y14523" s="1354"/>
      <c r="Z14523" s="1060"/>
    </row>
    <row r="14524" spans="25:26">
      <c r="Y14524" s="1354"/>
      <c r="Z14524" s="1060"/>
    </row>
    <row r="14525" spans="25:26">
      <c r="Y14525" s="1354"/>
      <c r="Z14525" s="1060"/>
    </row>
    <row r="14526" spans="25:26">
      <c r="Y14526" s="1354"/>
      <c r="Z14526" s="1060"/>
    </row>
    <row r="14527" spans="25:26">
      <c r="Y14527" s="1354"/>
      <c r="Z14527" s="1060"/>
    </row>
    <row r="14528" spans="25:26">
      <c r="Y14528" s="1354"/>
      <c r="Z14528" s="1060"/>
    </row>
    <row r="14529" spans="25:26">
      <c r="Y14529" s="1354"/>
      <c r="Z14529" s="1060"/>
    </row>
    <row r="14530" spans="25:26">
      <c r="Y14530" s="1354"/>
      <c r="Z14530" s="1060"/>
    </row>
    <row r="14531" spans="25:26">
      <c r="Y14531" s="1354"/>
      <c r="Z14531" s="1060"/>
    </row>
    <row r="14532" spans="25:26">
      <c r="Y14532" s="1354"/>
      <c r="Z14532" s="1060"/>
    </row>
    <row r="14533" spans="25:26">
      <c r="Y14533" s="1354"/>
      <c r="Z14533" s="1060"/>
    </row>
    <row r="14534" spans="25:26">
      <c r="Y14534" s="1354"/>
      <c r="Z14534" s="1060"/>
    </row>
    <row r="14535" spans="25:26">
      <c r="Y14535" s="1354"/>
      <c r="Z14535" s="1060"/>
    </row>
    <row r="14536" spans="25:26">
      <c r="Y14536" s="1354"/>
      <c r="Z14536" s="1060"/>
    </row>
    <row r="14537" spans="25:26">
      <c r="Y14537" s="1354"/>
      <c r="Z14537" s="1060"/>
    </row>
    <row r="14538" spans="25:26">
      <c r="Y14538" s="1354"/>
      <c r="Z14538" s="1060"/>
    </row>
    <row r="14539" spans="25:26">
      <c r="Y14539" s="1354"/>
      <c r="Z14539" s="1060"/>
    </row>
    <row r="14540" spans="25:26">
      <c r="Y14540" s="1354"/>
      <c r="Z14540" s="1060"/>
    </row>
    <row r="14541" spans="25:26">
      <c r="Y14541" s="1354"/>
      <c r="Z14541" s="1060"/>
    </row>
    <row r="14542" spans="25:26">
      <c r="Y14542" s="1354"/>
      <c r="Z14542" s="1060"/>
    </row>
    <row r="14543" spans="25:26">
      <c r="Y14543" s="1354"/>
      <c r="Z14543" s="1060"/>
    </row>
    <row r="14544" spans="25:26">
      <c r="Y14544" s="1354"/>
      <c r="Z14544" s="1060"/>
    </row>
    <row r="14545" spans="25:26">
      <c r="Y14545" s="1354"/>
      <c r="Z14545" s="1060"/>
    </row>
    <row r="14546" spans="25:26">
      <c r="Y14546" s="1354"/>
      <c r="Z14546" s="1060"/>
    </row>
    <row r="14547" spans="25:26">
      <c r="Y14547" s="1354"/>
      <c r="Z14547" s="1060"/>
    </row>
    <row r="14548" spans="25:26">
      <c r="Y14548" s="1354"/>
      <c r="Z14548" s="1060"/>
    </row>
    <row r="14549" spans="25:26">
      <c r="Y14549" s="1354"/>
      <c r="Z14549" s="1060"/>
    </row>
    <row r="14550" spans="25:26">
      <c r="Y14550" s="1354"/>
      <c r="Z14550" s="1060"/>
    </row>
    <row r="14551" spans="25:26">
      <c r="Y14551" s="1354"/>
      <c r="Z14551" s="1060"/>
    </row>
    <row r="14552" spans="25:26">
      <c r="Y14552" s="1354"/>
      <c r="Z14552" s="1060"/>
    </row>
    <row r="14553" spans="25:26">
      <c r="Y14553" s="1354"/>
      <c r="Z14553" s="1060"/>
    </row>
    <row r="14554" spans="25:26">
      <c r="Y14554" s="1354"/>
      <c r="Z14554" s="1060"/>
    </row>
    <row r="14555" spans="25:26">
      <c r="Y14555" s="1354"/>
      <c r="Z14555" s="1060"/>
    </row>
    <row r="14556" spans="25:26">
      <c r="Y14556" s="1354"/>
      <c r="Z14556" s="1060"/>
    </row>
    <row r="14557" spans="25:26">
      <c r="Y14557" s="1354"/>
      <c r="Z14557" s="1060"/>
    </row>
    <row r="14558" spans="25:26">
      <c r="Y14558" s="1354"/>
      <c r="Z14558" s="1060"/>
    </row>
    <row r="14559" spans="25:26">
      <c r="Y14559" s="1354"/>
      <c r="Z14559" s="1060"/>
    </row>
    <row r="14560" spans="25:26">
      <c r="Y14560" s="1354"/>
      <c r="Z14560" s="1060"/>
    </row>
    <row r="14561" spans="25:26">
      <c r="Y14561" s="1354"/>
      <c r="Z14561" s="1060"/>
    </row>
    <row r="14562" spans="25:26">
      <c r="Y14562" s="1354"/>
      <c r="Z14562" s="1060"/>
    </row>
    <row r="14563" spans="25:26">
      <c r="Y14563" s="1354"/>
      <c r="Z14563" s="1060"/>
    </row>
    <row r="14564" spans="25:26">
      <c r="Y14564" s="1354"/>
      <c r="Z14564" s="1060"/>
    </row>
    <row r="14565" spans="25:26">
      <c r="Y14565" s="1354"/>
      <c r="Z14565" s="1060"/>
    </row>
    <row r="14566" spans="25:26">
      <c r="Y14566" s="1354"/>
      <c r="Z14566" s="1060"/>
    </row>
    <row r="14567" spans="25:26">
      <c r="Y14567" s="1354"/>
      <c r="Z14567" s="1060"/>
    </row>
    <row r="14568" spans="25:26">
      <c r="Y14568" s="1354"/>
      <c r="Z14568" s="1060"/>
    </row>
    <row r="14569" spans="25:26">
      <c r="Y14569" s="1354"/>
      <c r="Z14569" s="1060"/>
    </row>
    <row r="14570" spans="25:26">
      <c r="Y14570" s="1354"/>
      <c r="Z14570" s="1060"/>
    </row>
    <row r="14571" spans="25:26">
      <c r="Y14571" s="1354"/>
      <c r="Z14571" s="1060"/>
    </row>
    <row r="14572" spans="25:26">
      <c r="Y14572" s="1354"/>
      <c r="Z14572" s="1060"/>
    </row>
    <row r="14573" spans="25:26">
      <c r="Y14573" s="1354"/>
      <c r="Z14573" s="1060"/>
    </row>
    <row r="14574" spans="25:26">
      <c r="Y14574" s="1354"/>
      <c r="Z14574" s="1060"/>
    </row>
    <row r="14575" spans="25:26">
      <c r="Y14575" s="1354"/>
      <c r="Z14575" s="1060"/>
    </row>
    <row r="14576" spans="25:26">
      <c r="Y14576" s="1354"/>
      <c r="Z14576" s="1060"/>
    </row>
    <row r="14577" spans="25:26">
      <c r="Y14577" s="1354"/>
      <c r="Z14577" s="1060"/>
    </row>
    <row r="14578" spans="25:26">
      <c r="Y14578" s="1354"/>
      <c r="Z14578" s="1060"/>
    </row>
    <row r="14579" spans="25:26">
      <c r="Y14579" s="1354"/>
      <c r="Z14579" s="1060"/>
    </row>
    <row r="14580" spans="25:26">
      <c r="Y14580" s="1354"/>
      <c r="Z14580" s="1060"/>
    </row>
    <row r="14581" spans="25:26">
      <c r="Y14581" s="1354"/>
      <c r="Z14581" s="1060"/>
    </row>
    <row r="14582" spans="25:26">
      <c r="Y14582" s="1354"/>
      <c r="Z14582" s="1060"/>
    </row>
    <row r="14583" spans="25:26">
      <c r="Y14583" s="1354"/>
      <c r="Z14583" s="1060"/>
    </row>
    <row r="14584" spans="25:26">
      <c r="Y14584" s="1354"/>
      <c r="Z14584" s="1060"/>
    </row>
    <row r="14585" spans="25:26">
      <c r="Y14585" s="1354"/>
      <c r="Z14585" s="1060"/>
    </row>
    <row r="14586" spans="25:26">
      <c r="Y14586" s="1354"/>
      <c r="Z14586" s="1060"/>
    </row>
    <row r="14587" spans="25:26">
      <c r="Y14587" s="1354"/>
      <c r="Z14587" s="1060"/>
    </row>
    <row r="14588" spans="25:26">
      <c r="Y14588" s="1354"/>
      <c r="Z14588" s="1060"/>
    </row>
    <row r="14589" spans="25:26">
      <c r="Y14589" s="1354"/>
      <c r="Z14589" s="1060"/>
    </row>
    <row r="14590" spans="25:26">
      <c r="Y14590" s="1354"/>
      <c r="Z14590" s="1060"/>
    </row>
    <row r="14591" spans="25:26">
      <c r="Y14591" s="1354"/>
      <c r="Z14591" s="1060"/>
    </row>
    <row r="14592" spans="25:26">
      <c r="Y14592" s="1354"/>
      <c r="Z14592" s="1060"/>
    </row>
    <row r="14593" spans="25:26">
      <c r="Y14593" s="1354"/>
      <c r="Z14593" s="1060"/>
    </row>
    <row r="14594" spans="25:26">
      <c r="Y14594" s="1354"/>
      <c r="Z14594" s="1060"/>
    </row>
    <row r="14595" spans="25:26">
      <c r="Y14595" s="1354"/>
      <c r="Z14595" s="1060"/>
    </row>
    <row r="14596" spans="25:26">
      <c r="Y14596" s="1354"/>
      <c r="Z14596" s="1060"/>
    </row>
    <row r="14597" spans="25:26">
      <c r="Y14597" s="1354"/>
      <c r="Z14597" s="1060"/>
    </row>
    <row r="14598" spans="25:26">
      <c r="Y14598" s="1354"/>
      <c r="Z14598" s="1060"/>
    </row>
    <row r="14599" spans="25:26">
      <c r="Y14599" s="1354"/>
      <c r="Z14599" s="1060"/>
    </row>
    <row r="14600" spans="25:26">
      <c r="Y14600" s="1354"/>
      <c r="Z14600" s="1060"/>
    </row>
    <row r="14601" spans="25:26">
      <c r="Y14601" s="1354"/>
      <c r="Z14601" s="1060"/>
    </row>
    <row r="14602" spans="25:26">
      <c r="Y14602" s="1354"/>
      <c r="Z14602" s="1060"/>
    </row>
    <row r="14603" spans="25:26">
      <c r="Y14603" s="1354"/>
      <c r="Z14603" s="1060"/>
    </row>
    <row r="14604" spans="25:26">
      <c r="Y14604" s="1354"/>
      <c r="Z14604" s="1060"/>
    </row>
    <row r="14605" spans="25:26">
      <c r="Y14605" s="1354"/>
      <c r="Z14605" s="1060"/>
    </row>
    <row r="14606" spans="25:26">
      <c r="Y14606" s="1354"/>
      <c r="Z14606" s="1060"/>
    </row>
    <row r="14607" spans="25:26">
      <c r="Y14607" s="1354"/>
      <c r="Z14607" s="1060"/>
    </row>
    <row r="14608" spans="25:26">
      <c r="Y14608" s="1354"/>
      <c r="Z14608" s="1060"/>
    </row>
    <row r="14609" spans="25:26">
      <c r="Y14609" s="1354"/>
      <c r="Z14609" s="1060"/>
    </row>
    <row r="14610" spans="25:26">
      <c r="Y14610" s="1354"/>
      <c r="Z14610" s="1060"/>
    </row>
    <row r="14611" spans="25:26">
      <c r="Y14611" s="1354"/>
      <c r="Z14611" s="1060"/>
    </row>
    <row r="14612" spans="25:26">
      <c r="Y14612" s="1354"/>
      <c r="Z14612" s="1060"/>
    </row>
    <row r="14613" spans="25:26">
      <c r="Y14613" s="1354"/>
      <c r="Z14613" s="1060"/>
    </row>
    <row r="14614" spans="25:26">
      <c r="Y14614" s="1354"/>
      <c r="Z14614" s="1060"/>
    </row>
    <row r="14615" spans="25:26">
      <c r="Y14615" s="1354"/>
      <c r="Z14615" s="1060"/>
    </row>
    <row r="14616" spans="25:26">
      <c r="Y14616" s="1354"/>
      <c r="Z14616" s="1060"/>
    </row>
    <row r="14617" spans="25:26">
      <c r="Y14617" s="1354"/>
      <c r="Z14617" s="1060"/>
    </row>
    <row r="14618" spans="25:26">
      <c r="Y14618" s="1354"/>
      <c r="Z14618" s="1060"/>
    </row>
    <row r="14619" spans="25:26">
      <c r="Y14619" s="1354"/>
      <c r="Z14619" s="1060"/>
    </row>
    <row r="14620" spans="25:26">
      <c r="Y14620" s="1354"/>
      <c r="Z14620" s="1060"/>
    </row>
    <row r="14621" spans="25:26">
      <c r="Y14621" s="1354"/>
      <c r="Z14621" s="1060"/>
    </row>
    <row r="14622" spans="25:26">
      <c r="Y14622" s="1354"/>
      <c r="Z14622" s="1060"/>
    </row>
    <row r="14623" spans="25:26">
      <c r="Y14623" s="1354"/>
      <c r="Z14623" s="1060"/>
    </row>
    <row r="14624" spans="25:26">
      <c r="Y14624" s="1354"/>
      <c r="Z14624" s="1060"/>
    </row>
    <row r="14625" spans="25:26">
      <c r="Y14625" s="1354"/>
      <c r="Z14625" s="1060"/>
    </row>
    <row r="14626" spans="25:26">
      <c r="Y14626" s="1354"/>
      <c r="Z14626" s="1060"/>
    </row>
    <row r="14627" spans="25:26">
      <c r="Y14627" s="1354"/>
      <c r="Z14627" s="1060"/>
    </row>
    <row r="14628" spans="25:26">
      <c r="Y14628" s="1354"/>
      <c r="Z14628" s="1060"/>
    </row>
    <row r="14629" spans="25:26">
      <c r="Y14629" s="1354"/>
      <c r="Z14629" s="1060"/>
    </row>
    <row r="14630" spans="25:26">
      <c r="Y14630" s="1354"/>
      <c r="Z14630" s="1060"/>
    </row>
    <row r="14631" spans="25:26">
      <c r="Y14631" s="1354"/>
      <c r="Z14631" s="1060"/>
    </row>
    <row r="14632" spans="25:26">
      <c r="Y14632" s="1354"/>
      <c r="Z14632" s="1060"/>
    </row>
    <row r="14633" spans="25:26">
      <c r="Y14633" s="1354"/>
      <c r="Z14633" s="1060"/>
    </row>
    <row r="14634" spans="25:26">
      <c r="Y14634" s="1354"/>
      <c r="Z14634" s="1060"/>
    </row>
    <row r="14635" spans="25:26">
      <c r="Y14635" s="1354"/>
      <c r="Z14635" s="1060"/>
    </row>
    <row r="14636" spans="25:26">
      <c r="Y14636" s="1354"/>
      <c r="Z14636" s="1060"/>
    </row>
    <row r="14637" spans="25:26">
      <c r="Y14637" s="1354"/>
      <c r="Z14637" s="1060"/>
    </row>
    <row r="14638" spans="25:26">
      <c r="Y14638" s="1354"/>
      <c r="Z14638" s="1060"/>
    </row>
    <row r="14639" spans="25:26">
      <c r="Y14639" s="1354"/>
      <c r="Z14639" s="1060"/>
    </row>
    <row r="14640" spans="25:26">
      <c r="Y14640" s="1354"/>
      <c r="Z14640" s="1060"/>
    </row>
    <row r="14641" spans="25:26">
      <c r="Y14641" s="1354"/>
      <c r="Z14641" s="1060"/>
    </row>
    <row r="14642" spans="25:26">
      <c r="Y14642" s="1354"/>
      <c r="Z14642" s="1060"/>
    </row>
    <row r="14643" spans="25:26">
      <c r="Y14643" s="1354"/>
      <c r="Z14643" s="1060"/>
    </row>
    <row r="14644" spans="25:26">
      <c r="Y14644" s="1354"/>
      <c r="Z14644" s="1060"/>
    </row>
    <row r="14645" spans="25:26">
      <c r="Y14645" s="1354"/>
      <c r="Z14645" s="1060"/>
    </row>
    <row r="14646" spans="25:26">
      <c r="Y14646" s="1354"/>
      <c r="Z14646" s="1060"/>
    </row>
    <row r="14647" spans="25:26">
      <c r="Y14647" s="1354"/>
      <c r="Z14647" s="1060"/>
    </row>
    <row r="14648" spans="25:26">
      <c r="Y14648" s="1354"/>
      <c r="Z14648" s="1060"/>
    </row>
    <row r="14649" spans="25:26">
      <c r="Y14649" s="1354"/>
      <c r="Z14649" s="1060"/>
    </row>
    <row r="14650" spans="25:26">
      <c r="Y14650" s="1354"/>
      <c r="Z14650" s="1060"/>
    </row>
    <row r="14651" spans="25:26">
      <c r="Y14651" s="1354"/>
      <c r="Z14651" s="1060"/>
    </row>
    <row r="14652" spans="25:26">
      <c r="Y14652" s="1354"/>
      <c r="Z14652" s="1060"/>
    </row>
    <row r="14653" spans="25:26">
      <c r="Y14653" s="1354"/>
      <c r="Z14653" s="1060"/>
    </row>
    <row r="14654" spans="25:26">
      <c r="Y14654" s="1354"/>
      <c r="Z14654" s="1060"/>
    </row>
    <row r="14655" spans="25:26">
      <c r="Y14655" s="1354"/>
      <c r="Z14655" s="1060"/>
    </row>
    <row r="14656" spans="25:26">
      <c r="Y14656" s="1354"/>
      <c r="Z14656" s="1060"/>
    </row>
    <row r="14657" spans="25:26">
      <c r="Y14657" s="1354"/>
      <c r="Z14657" s="1060"/>
    </row>
    <row r="14658" spans="25:26">
      <c r="Y14658" s="1354"/>
      <c r="Z14658" s="1060"/>
    </row>
    <row r="14659" spans="25:26">
      <c r="Y14659" s="1354"/>
      <c r="Z14659" s="1060"/>
    </row>
    <row r="14660" spans="25:26">
      <c r="Y14660" s="1354"/>
      <c r="Z14660" s="1060"/>
    </row>
    <row r="14661" spans="25:26">
      <c r="Y14661" s="1354"/>
      <c r="Z14661" s="1060"/>
    </row>
    <row r="14662" spans="25:26">
      <c r="Y14662" s="1354"/>
      <c r="Z14662" s="1060"/>
    </row>
    <row r="14663" spans="25:26">
      <c r="Y14663" s="1354"/>
      <c r="Z14663" s="1060"/>
    </row>
    <row r="14664" spans="25:26">
      <c r="Y14664" s="1354"/>
      <c r="Z14664" s="1060"/>
    </row>
    <row r="14665" spans="25:26">
      <c r="Y14665" s="1354"/>
      <c r="Z14665" s="1060"/>
    </row>
    <row r="14666" spans="25:26">
      <c r="Y14666" s="1354"/>
      <c r="Z14666" s="1060"/>
    </row>
    <row r="14667" spans="25:26">
      <c r="Y14667" s="1354"/>
      <c r="Z14667" s="1060"/>
    </row>
    <row r="14668" spans="25:26">
      <c r="Y14668" s="1354"/>
      <c r="Z14668" s="1060"/>
    </row>
    <row r="14669" spans="25:26">
      <c r="Y14669" s="1354"/>
      <c r="Z14669" s="1060"/>
    </row>
    <row r="14670" spans="25:26">
      <c r="Y14670" s="1354"/>
      <c r="Z14670" s="1060"/>
    </row>
    <row r="14671" spans="25:26">
      <c r="Y14671" s="1354"/>
      <c r="Z14671" s="1060"/>
    </row>
    <row r="14672" spans="25:26">
      <c r="Y14672" s="1354"/>
      <c r="Z14672" s="1060"/>
    </row>
    <row r="14673" spans="25:26">
      <c r="Y14673" s="1354"/>
      <c r="Z14673" s="1060"/>
    </row>
    <row r="14674" spans="25:26">
      <c r="Y14674" s="1354"/>
      <c r="Z14674" s="1060"/>
    </row>
    <row r="14675" spans="25:26">
      <c r="Y14675" s="1354"/>
      <c r="Z14675" s="1060"/>
    </row>
    <row r="14676" spans="25:26">
      <c r="Y14676" s="1354"/>
      <c r="Z14676" s="1060"/>
    </row>
    <row r="14677" spans="25:26">
      <c r="Y14677" s="1354"/>
      <c r="Z14677" s="1060"/>
    </row>
    <row r="14678" spans="25:26">
      <c r="Y14678" s="1354"/>
      <c r="Z14678" s="1060"/>
    </row>
    <row r="14679" spans="25:26">
      <c r="Y14679" s="1354"/>
      <c r="Z14679" s="1060"/>
    </row>
    <row r="14680" spans="25:26">
      <c r="Y14680" s="1354"/>
      <c r="Z14680" s="1060"/>
    </row>
    <row r="14681" spans="25:26">
      <c r="Y14681" s="1354"/>
      <c r="Z14681" s="1060"/>
    </row>
    <row r="14682" spans="25:26">
      <c r="Y14682" s="1354"/>
      <c r="Z14682" s="1060"/>
    </row>
    <row r="14683" spans="25:26">
      <c r="Y14683" s="1354"/>
      <c r="Z14683" s="1060"/>
    </row>
    <row r="14684" spans="25:26">
      <c r="Y14684" s="1354"/>
      <c r="Z14684" s="1060"/>
    </row>
    <row r="14685" spans="25:26">
      <c r="Y14685" s="1354"/>
      <c r="Z14685" s="1060"/>
    </row>
    <row r="14686" spans="25:26">
      <c r="Y14686" s="1354"/>
      <c r="Z14686" s="1060"/>
    </row>
    <row r="14687" spans="25:26">
      <c r="Y14687" s="1354"/>
      <c r="Z14687" s="1060"/>
    </row>
    <row r="14688" spans="25:26">
      <c r="Y14688" s="1354"/>
      <c r="Z14688" s="1060"/>
    </row>
    <row r="14689" spans="25:26">
      <c r="Y14689" s="1354"/>
      <c r="Z14689" s="1060"/>
    </row>
    <row r="14690" spans="25:26">
      <c r="Y14690" s="1354"/>
      <c r="Z14690" s="1060"/>
    </row>
    <row r="14691" spans="25:26">
      <c r="Y14691" s="1354"/>
      <c r="Z14691" s="1060"/>
    </row>
    <row r="14692" spans="25:26">
      <c r="Y14692" s="1354"/>
      <c r="Z14692" s="1060"/>
    </row>
    <row r="14693" spans="25:26">
      <c r="Y14693" s="1354"/>
      <c r="Z14693" s="1060"/>
    </row>
    <row r="14694" spans="25:26">
      <c r="Y14694" s="1354"/>
      <c r="Z14694" s="1060"/>
    </row>
    <row r="14695" spans="25:26">
      <c r="Y14695" s="1354"/>
      <c r="Z14695" s="1060"/>
    </row>
    <row r="14696" spans="25:26">
      <c r="Y14696" s="1354"/>
      <c r="Z14696" s="1060"/>
    </row>
    <row r="14697" spans="25:26">
      <c r="Y14697" s="1354"/>
      <c r="Z14697" s="1060"/>
    </row>
    <row r="14698" spans="25:26">
      <c r="Y14698" s="1354"/>
      <c r="Z14698" s="1060"/>
    </row>
    <row r="14699" spans="25:26">
      <c r="Y14699" s="1354"/>
      <c r="Z14699" s="1060"/>
    </row>
    <row r="14700" spans="25:26">
      <c r="Y14700" s="1354"/>
      <c r="Z14700" s="1060"/>
    </row>
    <row r="14701" spans="25:26">
      <c r="Y14701" s="1354"/>
      <c r="Z14701" s="1060"/>
    </row>
    <row r="14702" spans="25:26">
      <c r="Y14702" s="1354"/>
      <c r="Z14702" s="1060"/>
    </row>
    <row r="14703" spans="25:26">
      <c r="Y14703" s="1354"/>
      <c r="Z14703" s="1060"/>
    </row>
    <row r="14704" spans="25:26">
      <c r="Y14704" s="1354"/>
      <c r="Z14704" s="1060"/>
    </row>
    <row r="14705" spans="25:26">
      <c r="Y14705" s="1354"/>
      <c r="Z14705" s="1060"/>
    </row>
    <row r="14706" spans="25:26">
      <c r="Y14706" s="1354"/>
      <c r="Z14706" s="1060"/>
    </row>
    <row r="14707" spans="25:26">
      <c r="Y14707" s="1354"/>
      <c r="Z14707" s="1060"/>
    </row>
    <row r="14708" spans="25:26">
      <c r="Y14708" s="1354"/>
      <c r="Z14708" s="1060"/>
    </row>
    <row r="14709" spans="25:26">
      <c r="Y14709" s="1354"/>
      <c r="Z14709" s="1060"/>
    </row>
    <row r="14710" spans="25:26">
      <c r="Y14710" s="1354"/>
      <c r="Z14710" s="1060"/>
    </row>
    <row r="14711" spans="25:26">
      <c r="Y14711" s="1354"/>
      <c r="Z14711" s="1060"/>
    </row>
    <row r="14712" spans="25:26">
      <c r="Y14712" s="1354"/>
      <c r="Z14712" s="1060"/>
    </row>
    <row r="14713" spans="25:26">
      <c r="Y14713" s="1354"/>
      <c r="Z14713" s="1060"/>
    </row>
    <row r="14714" spans="25:26">
      <c r="Y14714" s="1354"/>
      <c r="Z14714" s="1060"/>
    </row>
    <row r="14715" spans="25:26">
      <c r="Y14715" s="1354"/>
      <c r="Z14715" s="1060"/>
    </row>
    <row r="14716" spans="25:26">
      <c r="Y14716" s="1354"/>
      <c r="Z14716" s="1060"/>
    </row>
    <row r="14717" spans="25:26">
      <c r="Y14717" s="1354"/>
      <c r="Z14717" s="1060"/>
    </row>
    <row r="14718" spans="25:26">
      <c r="Y14718" s="1354"/>
      <c r="Z14718" s="1060"/>
    </row>
    <row r="14719" spans="25:26">
      <c r="Y14719" s="1354"/>
      <c r="Z14719" s="1060"/>
    </row>
    <row r="14720" spans="25:26">
      <c r="Y14720" s="1354"/>
      <c r="Z14720" s="1060"/>
    </row>
    <row r="14721" spans="25:26">
      <c r="Y14721" s="1354"/>
      <c r="Z14721" s="1060"/>
    </row>
    <row r="14722" spans="25:26">
      <c r="Y14722" s="1354"/>
      <c r="Z14722" s="1060"/>
    </row>
    <row r="14723" spans="25:26">
      <c r="Y14723" s="1354"/>
      <c r="Z14723" s="1060"/>
    </row>
    <row r="14724" spans="25:26">
      <c r="Y14724" s="1354"/>
      <c r="Z14724" s="1060"/>
    </row>
    <row r="14725" spans="25:26">
      <c r="Y14725" s="1354"/>
      <c r="Z14725" s="1060"/>
    </row>
    <row r="14726" spans="25:26">
      <c r="Y14726" s="1354"/>
      <c r="Z14726" s="1060"/>
    </row>
    <row r="14727" spans="25:26">
      <c r="Y14727" s="1354"/>
      <c r="Z14727" s="1060"/>
    </row>
    <row r="14728" spans="25:26">
      <c r="Y14728" s="1354"/>
      <c r="Z14728" s="1060"/>
    </row>
    <row r="14729" spans="25:26">
      <c r="Y14729" s="1354"/>
      <c r="Z14729" s="1060"/>
    </row>
    <row r="14730" spans="25:26">
      <c r="Y14730" s="1354"/>
      <c r="Z14730" s="1060"/>
    </row>
    <row r="14731" spans="25:26">
      <c r="Y14731" s="1354"/>
      <c r="Z14731" s="1060"/>
    </row>
    <row r="14732" spans="25:26">
      <c r="Y14732" s="1354"/>
      <c r="Z14732" s="1060"/>
    </row>
    <row r="14733" spans="25:26">
      <c r="Y14733" s="1354"/>
      <c r="Z14733" s="1060"/>
    </row>
    <row r="14734" spans="25:26">
      <c r="Y14734" s="1354"/>
      <c r="Z14734" s="1060"/>
    </row>
    <row r="14735" spans="25:26">
      <c r="Y14735" s="1354"/>
      <c r="Z14735" s="1060"/>
    </row>
    <row r="14736" spans="25:26">
      <c r="Y14736" s="1354"/>
      <c r="Z14736" s="1060"/>
    </row>
    <row r="14737" spans="25:26">
      <c r="Y14737" s="1354"/>
      <c r="Z14737" s="1060"/>
    </row>
    <row r="14738" spans="25:26">
      <c r="Y14738" s="1354"/>
      <c r="Z14738" s="1060"/>
    </row>
    <row r="14739" spans="25:26">
      <c r="Y14739" s="1354"/>
      <c r="Z14739" s="1060"/>
    </row>
    <row r="14740" spans="25:26">
      <c r="Y14740" s="1354"/>
      <c r="Z14740" s="1060"/>
    </row>
    <row r="14741" spans="25:26">
      <c r="Y14741" s="1354"/>
      <c r="Z14741" s="1060"/>
    </row>
    <row r="14742" spans="25:26">
      <c r="Y14742" s="1354"/>
      <c r="Z14742" s="1060"/>
    </row>
    <row r="14743" spans="25:26">
      <c r="Y14743" s="1354"/>
      <c r="Z14743" s="1060"/>
    </row>
    <row r="14744" spans="25:26">
      <c r="Y14744" s="1354"/>
      <c r="Z14744" s="1060"/>
    </row>
    <row r="14745" spans="25:26">
      <c r="Y14745" s="1354"/>
      <c r="Z14745" s="1060"/>
    </row>
    <row r="14746" spans="25:26">
      <c r="Y14746" s="1354"/>
      <c r="Z14746" s="1060"/>
    </row>
    <row r="14747" spans="25:26">
      <c r="Y14747" s="1354"/>
      <c r="Z14747" s="1060"/>
    </row>
    <row r="14748" spans="25:26">
      <c r="Y14748" s="1354"/>
      <c r="Z14748" s="1060"/>
    </row>
    <row r="14749" spans="25:26">
      <c r="Y14749" s="1354"/>
      <c r="Z14749" s="1060"/>
    </row>
    <row r="14750" spans="25:26">
      <c r="Y14750" s="1354"/>
      <c r="Z14750" s="1060"/>
    </row>
    <row r="14751" spans="25:26">
      <c r="Y14751" s="1354"/>
      <c r="Z14751" s="1060"/>
    </row>
    <row r="14752" spans="25:26">
      <c r="Y14752" s="1354"/>
      <c r="Z14752" s="1060"/>
    </row>
    <row r="14753" spans="25:26">
      <c r="Y14753" s="1354"/>
      <c r="Z14753" s="1060"/>
    </row>
    <row r="14754" spans="25:26">
      <c r="Y14754" s="1354"/>
      <c r="Z14754" s="1060"/>
    </row>
    <row r="14755" spans="25:26">
      <c r="Y14755" s="1354"/>
      <c r="Z14755" s="1060"/>
    </row>
    <row r="14756" spans="25:26">
      <c r="Y14756" s="1354"/>
      <c r="Z14756" s="1060"/>
    </row>
    <row r="14757" spans="25:26">
      <c r="Y14757" s="1354"/>
      <c r="Z14757" s="1060"/>
    </row>
    <row r="14758" spans="25:26">
      <c r="Y14758" s="1354"/>
      <c r="Z14758" s="1060"/>
    </row>
    <row r="14759" spans="25:26">
      <c r="Y14759" s="1354"/>
      <c r="Z14759" s="1060"/>
    </row>
    <row r="14760" spans="25:26">
      <c r="Y14760" s="1354"/>
      <c r="Z14760" s="1060"/>
    </row>
    <row r="14761" spans="25:26">
      <c r="Y14761" s="1354"/>
      <c r="Z14761" s="1060"/>
    </row>
    <row r="14762" spans="25:26">
      <c r="Y14762" s="1354"/>
      <c r="Z14762" s="1060"/>
    </row>
    <row r="14763" spans="25:26">
      <c r="Y14763" s="1354"/>
      <c r="Z14763" s="1060"/>
    </row>
    <row r="14764" spans="25:26">
      <c r="Y14764" s="1354"/>
      <c r="Z14764" s="1060"/>
    </row>
    <row r="14765" spans="25:26">
      <c r="Y14765" s="1354"/>
      <c r="Z14765" s="1060"/>
    </row>
    <row r="14766" spans="25:26">
      <c r="Y14766" s="1354"/>
      <c r="Z14766" s="1060"/>
    </row>
    <row r="14767" spans="25:26">
      <c r="Y14767" s="1354"/>
      <c r="Z14767" s="1060"/>
    </row>
    <row r="14768" spans="25:26">
      <c r="Y14768" s="1354"/>
      <c r="Z14768" s="1060"/>
    </row>
    <row r="14769" spans="25:26">
      <c r="Y14769" s="1354"/>
      <c r="Z14769" s="1060"/>
    </row>
    <row r="14770" spans="25:26">
      <c r="Y14770" s="1354"/>
      <c r="Z14770" s="1060"/>
    </row>
    <row r="14771" spans="25:26">
      <c r="Y14771" s="1354"/>
      <c r="Z14771" s="1060"/>
    </row>
    <row r="14772" spans="25:26">
      <c r="Y14772" s="1354"/>
      <c r="Z14772" s="1060"/>
    </row>
    <row r="14773" spans="25:26">
      <c r="Y14773" s="1354"/>
      <c r="Z14773" s="1060"/>
    </row>
    <row r="14774" spans="25:26">
      <c r="Y14774" s="1354"/>
      <c r="Z14774" s="1060"/>
    </row>
    <row r="14775" spans="25:26">
      <c r="Y14775" s="1354"/>
      <c r="Z14775" s="1060"/>
    </row>
    <row r="14776" spans="25:26">
      <c r="Y14776" s="1354"/>
      <c r="Z14776" s="1060"/>
    </row>
    <row r="14777" spans="25:26">
      <c r="Y14777" s="1354"/>
      <c r="Z14777" s="1060"/>
    </row>
    <row r="14778" spans="25:26">
      <c r="Y14778" s="1354"/>
      <c r="Z14778" s="1060"/>
    </row>
    <row r="14779" spans="25:26">
      <c r="Y14779" s="1354"/>
      <c r="Z14779" s="1060"/>
    </row>
    <row r="14780" spans="25:26">
      <c r="Y14780" s="1354"/>
      <c r="Z14780" s="1060"/>
    </row>
    <row r="14781" spans="25:26">
      <c r="Y14781" s="1354"/>
      <c r="Z14781" s="1060"/>
    </row>
    <row r="14782" spans="25:26">
      <c r="Y14782" s="1354"/>
      <c r="Z14782" s="1060"/>
    </row>
    <row r="14783" spans="25:26">
      <c r="Y14783" s="1354"/>
      <c r="Z14783" s="1060"/>
    </row>
    <row r="14784" spans="25:26">
      <c r="Y14784" s="1354"/>
      <c r="Z14784" s="1060"/>
    </row>
    <row r="14785" spans="25:26">
      <c r="Y14785" s="1354"/>
      <c r="Z14785" s="1060"/>
    </row>
    <row r="14786" spans="25:26">
      <c r="Y14786" s="1354"/>
      <c r="Z14786" s="1060"/>
    </row>
    <row r="14787" spans="25:26">
      <c r="Y14787" s="1354"/>
      <c r="Z14787" s="1060"/>
    </row>
    <row r="14788" spans="25:26">
      <c r="Y14788" s="1354"/>
      <c r="Z14788" s="1060"/>
    </row>
    <row r="14789" spans="25:26">
      <c r="Y14789" s="1354"/>
      <c r="Z14789" s="1060"/>
    </row>
    <row r="14790" spans="25:26">
      <c r="Y14790" s="1354"/>
      <c r="Z14790" s="1060"/>
    </row>
    <row r="14791" spans="25:26">
      <c r="Y14791" s="1354"/>
      <c r="Z14791" s="1060"/>
    </row>
    <row r="14792" spans="25:26">
      <c r="Y14792" s="1354"/>
      <c r="Z14792" s="1060"/>
    </row>
    <row r="14793" spans="25:26">
      <c r="Y14793" s="1354"/>
      <c r="Z14793" s="1060"/>
    </row>
    <row r="14794" spans="25:26">
      <c r="Y14794" s="1354"/>
      <c r="Z14794" s="1060"/>
    </row>
    <row r="14795" spans="25:26">
      <c r="Y14795" s="1354"/>
      <c r="Z14795" s="1060"/>
    </row>
    <row r="14796" spans="25:26">
      <c r="Y14796" s="1354"/>
      <c r="Z14796" s="1060"/>
    </row>
    <row r="14797" spans="25:26">
      <c r="Y14797" s="1354"/>
      <c r="Z14797" s="1060"/>
    </row>
    <row r="14798" spans="25:26">
      <c r="Y14798" s="1354"/>
      <c r="Z14798" s="1060"/>
    </row>
    <row r="14799" spans="25:26">
      <c r="Y14799" s="1354"/>
      <c r="Z14799" s="1060"/>
    </row>
    <row r="14800" spans="25:26">
      <c r="Y14800" s="1354"/>
      <c r="Z14800" s="1060"/>
    </row>
    <row r="14801" spans="25:26">
      <c r="Y14801" s="1354"/>
      <c r="Z14801" s="1060"/>
    </row>
    <row r="14802" spans="25:26">
      <c r="Y14802" s="1354"/>
      <c r="Z14802" s="1060"/>
    </row>
    <row r="14803" spans="25:26">
      <c r="Y14803" s="1354"/>
      <c r="Z14803" s="1060"/>
    </row>
    <row r="14804" spans="25:26">
      <c r="Y14804" s="1354"/>
      <c r="Z14804" s="1060"/>
    </row>
    <row r="14805" spans="25:26">
      <c r="Y14805" s="1354"/>
      <c r="Z14805" s="1060"/>
    </row>
    <row r="14806" spans="25:26">
      <c r="Y14806" s="1354"/>
      <c r="Z14806" s="1060"/>
    </row>
    <row r="14807" spans="25:26">
      <c r="Y14807" s="1354"/>
      <c r="Z14807" s="1060"/>
    </row>
    <row r="14808" spans="25:26">
      <c r="Y14808" s="1354"/>
      <c r="Z14808" s="1060"/>
    </row>
    <row r="14809" spans="25:26">
      <c r="Y14809" s="1354"/>
      <c r="Z14809" s="1060"/>
    </row>
    <row r="14810" spans="25:26">
      <c r="Y14810" s="1354"/>
      <c r="Z14810" s="1060"/>
    </row>
    <row r="14811" spans="25:26">
      <c r="Y14811" s="1354"/>
      <c r="Z14811" s="1060"/>
    </row>
    <row r="14812" spans="25:26">
      <c r="Y14812" s="1354"/>
      <c r="Z14812" s="1060"/>
    </row>
    <row r="14813" spans="25:26">
      <c r="Y14813" s="1354"/>
      <c r="Z14813" s="1060"/>
    </row>
    <row r="14814" spans="25:26">
      <c r="Y14814" s="1354"/>
      <c r="Z14814" s="1060"/>
    </row>
    <row r="14815" spans="25:26">
      <c r="Y14815" s="1354"/>
      <c r="Z14815" s="1060"/>
    </row>
    <row r="14816" spans="25:26">
      <c r="Y14816" s="1354"/>
      <c r="Z14816" s="1060"/>
    </row>
    <row r="14817" spans="25:26">
      <c r="Y14817" s="1354"/>
      <c r="Z14817" s="1060"/>
    </row>
    <row r="14818" spans="25:26">
      <c r="Y14818" s="1354"/>
      <c r="Z14818" s="1060"/>
    </row>
    <row r="14819" spans="25:26">
      <c r="Y14819" s="1354"/>
      <c r="Z14819" s="1060"/>
    </row>
    <row r="14820" spans="25:26">
      <c r="Y14820" s="1354"/>
      <c r="Z14820" s="1060"/>
    </row>
    <row r="14821" spans="25:26">
      <c r="Y14821" s="1354"/>
      <c r="Z14821" s="1060"/>
    </row>
    <row r="14822" spans="25:26">
      <c r="Y14822" s="1354"/>
      <c r="Z14822" s="1060"/>
    </row>
    <row r="14823" spans="25:26">
      <c r="Y14823" s="1354"/>
      <c r="Z14823" s="1060"/>
    </row>
    <row r="14824" spans="25:26">
      <c r="Y14824" s="1354"/>
      <c r="Z14824" s="1060"/>
    </row>
    <row r="14825" spans="25:26">
      <c r="Y14825" s="1354"/>
      <c r="Z14825" s="1060"/>
    </row>
    <row r="14826" spans="25:26">
      <c r="Y14826" s="1354"/>
      <c r="Z14826" s="1060"/>
    </row>
    <row r="14827" spans="25:26">
      <c r="Y14827" s="1354"/>
      <c r="Z14827" s="1060"/>
    </row>
    <row r="14828" spans="25:26">
      <c r="Y14828" s="1354"/>
      <c r="Z14828" s="1060"/>
    </row>
    <row r="14829" spans="25:26">
      <c r="Y14829" s="1354"/>
      <c r="Z14829" s="1060"/>
    </row>
    <row r="14830" spans="25:26">
      <c r="Y14830" s="1354"/>
      <c r="Z14830" s="1060"/>
    </row>
    <row r="14831" spans="25:26">
      <c r="Y14831" s="1354"/>
      <c r="Z14831" s="1060"/>
    </row>
    <row r="14832" spans="25:26">
      <c r="Y14832" s="1354"/>
      <c r="Z14832" s="1060"/>
    </row>
    <row r="14833" spans="25:26">
      <c r="Y14833" s="1354"/>
      <c r="Z14833" s="1060"/>
    </row>
    <row r="14834" spans="25:26">
      <c r="Y14834" s="1354"/>
      <c r="Z14834" s="1060"/>
    </row>
    <row r="14835" spans="25:26">
      <c r="Y14835" s="1354"/>
      <c r="Z14835" s="1060"/>
    </row>
    <row r="14836" spans="25:26">
      <c r="Y14836" s="1354"/>
      <c r="Z14836" s="1060"/>
    </row>
    <row r="14837" spans="25:26">
      <c r="Y14837" s="1354"/>
      <c r="Z14837" s="1060"/>
    </row>
    <row r="14838" spans="25:26">
      <c r="Y14838" s="1354"/>
      <c r="Z14838" s="1060"/>
    </row>
    <row r="14839" spans="25:26">
      <c r="Y14839" s="1354"/>
      <c r="Z14839" s="1060"/>
    </row>
    <row r="14840" spans="25:26">
      <c r="Y14840" s="1354"/>
      <c r="Z14840" s="1060"/>
    </row>
    <row r="14841" spans="25:26">
      <c r="Y14841" s="1354"/>
      <c r="Z14841" s="1060"/>
    </row>
    <row r="14842" spans="25:26">
      <c r="Y14842" s="1354"/>
      <c r="Z14842" s="1060"/>
    </row>
    <row r="14843" spans="25:26">
      <c r="Y14843" s="1354"/>
      <c r="Z14843" s="1060"/>
    </row>
    <row r="14844" spans="25:26">
      <c r="Y14844" s="1354"/>
      <c r="Z14844" s="1060"/>
    </row>
    <row r="14845" spans="25:26">
      <c r="Y14845" s="1354"/>
      <c r="Z14845" s="1060"/>
    </row>
    <row r="14846" spans="25:26">
      <c r="Y14846" s="1354"/>
      <c r="Z14846" s="1060"/>
    </row>
    <row r="14847" spans="25:26">
      <c r="Y14847" s="1354"/>
      <c r="Z14847" s="1060"/>
    </row>
    <row r="14848" spans="25:26">
      <c r="Y14848" s="1354"/>
      <c r="Z14848" s="1060"/>
    </row>
    <row r="14849" spans="25:26">
      <c r="Y14849" s="1354"/>
      <c r="Z14849" s="1060"/>
    </row>
    <row r="14850" spans="25:26">
      <c r="Y14850" s="1354"/>
      <c r="Z14850" s="1060"/>
    </row>
    <row r="14851" spans="25:26">
      <c r="Y14851" s="1354"/>
      <c r="Z14851" s="1060"/>
    </row>
    <row r="14852" spans="25:26">
      <c r="Y14852" s="1354"/>
      <c r="Z14852" s="1060"/>
    </row>
    <row r="14853" spans="25:26">
      <c r="Y14853" s="1354"/>
      <c r="Z14853" s="1060"/>
    </row>
    <row r="14854" spans="25:26">
      <c r="Y14854" s="1354"/>
      <c r="Z14854" s="1060"/>
    </row>
    <row r="14855" spans="25:26">
      <c r="Y14855" s="1354"/>
      <c r="Z14855" s="1060"/>
    </row>
    <row r="14856" spans="25:26">
      <c r="Y14856" s="1354"/>
      <c r="Z14856" s="1060"/>
    </row>
    <row r="14857" spans="25:26">
      <c r="Y14857" s="1354"/>
      <c r="Z14857" s="1060"/>
    </row>
    <row r="14858" spans="25:26">
      <c r="Y14858" s="1354"/>
      <c r="Z14858" s="1060"/>
    </row>
    <row r="14859" spans="25:26">
      <c r="Y14859" s="1354"/>
      <c r="Z14859" s="1060"/>
    </row>
    <row r="14860" spans="25:26">
      <c r="Y14860" s="1354"/>
      <c r="Z14860" s="1060"/>
    </row>
    <row r="14861" spans="25:26">
      <c r="Y14861" s="1354"/>
      <c r="Z14861" s="1060"/>
    </row>
    <row r="14862" spans="25:26">
      <c r="Y14862" s="1354"/>
      <c r="Z14862" s="1060"/>
    </row>
    <row r="14863" spans="25:26">
      <c r="Y14863" s="1354"/>
      <c r="Z14863" s="1060"/>
    </row>
    <row r="14864" spans="25:26">
      <c r="Y14864" s="1354"/>
      <c r="Z14864" s="1060"/>
    </row>
    <row r="14865" spans="25:26">
      <c r="Y14865" s="1354"/>
      <c r="Z14865" s="1060"/>
    </row>
    <row r="14866" spans="25:26">
      <c r="Y14866" s="1354"/>
      <c r="Z14866" s="1060"/>
    </row>
    <row r="14867" spans="25:26">
      <c r="Y14867" s="1354"/>
      <c r="Z14867" s="1060"/>
    </row>
    <row r="14868" spans="25:26">
      <c r="Y14868" s="1354"/>
      <c r="Z14868" s="1060"/>
    </row>
    <row r="14869" spans="25:26">
      <c r="Y14869" s="1354"/>
      <c r="Z14869" s="1060"/>
    </row>
    <row r="14870" spans="25:26">
      <c r="Y14870" s="1354"/>
      <c r="Z14870" s="1060"/>
    </row>
    <row r="14871" spans="25:26">
      <c r="Y14871" s="1354"/>
      <c r="Z14871" s="1060"/>
    </row>
    <row r="14872" spans="25:26">
      <c r="Y14872" s="1354"/>
      <c r="Z14872" s="1060"/>
    </row>
    <row r="14873" spans="25:26">
      <c r="Y14873" s="1354"/>
      <c r="Z14873" s="1060"/>
    </row>
    <row r="14874" spans="25:26">
      <c r="Y14874" s="1354"/>
      <c r="Z14874" s="1060"/>
    </row>
    <row r="14875" spans="25:26">
      <c r="Y14875" s="1354"/>
      <c r="Z14875" s="1060"/>
    </row>
    <row r="14876" spans="25:26">
      <c r="Y14876" s="1354"/>
      <c r="Z14876" s="1060"/>
    </row>
    <row r="14877" spans="25:26">
      <c r="Y14877" s="1354"/>
      <c r="Z14877" s="1060"/>
    </row>
    <row r="14878" spans="25:26">
      <c r="Y14878" s="1354"/>
      <c r="Z14878" s="1060"/>
    </row>
    <row r="14879" spans="25:26">
      <c r="Y14879" s="1354"/>
      <c r="Z14879" s="1060"/>
    </row>
    <row r="14880" spans="25:26">
      <c r="Y14880" s="1354"/>
      <c r="Z14880" s="1060"/>
    </row>
    <row r="14881" spans="25:26">
      <c r="Y14881" s="1354"/>
      <c r="Z14881" s="1060"/>
    </row>
    <row r="14882" spans="25:26">
      <c r="Y14882" s="1354"/>
      <c r="Z14882" s="1060"/>
    </row>
    <row r="14883" spans="25:26">
      <c r="Y14883" s="1354"/>
      <c r="Z14883" s="1060"/>
    </row>
    <row r="14884" spans="25:26">
      <c r="Y14884" s="1354"/>
      <c r="Z14884" s="1060"/>
    </row>
    <row r="14885" spans="25:26">
      <c r="Y14885" s="1354"/>
      <c r="Z14885" s="1060"/>
    </row>
    <row r="14886" spans="25:26">
      <c r="Y14886" s="1354"/>
      <c r="Z14886" s="1060"/>
    </row>
    <row r="14887" spans="25:26">
      <c r="Y14887" s="1354"/>
      <c r="Z14887" s="1060"/>
    </row>
    <row r="14888" spans="25:26">
      <c r="Y14888" s="1354"/>
      <c r="Z14888" s="1060"/>
    </row>
    <row r="14889" spans="25:26">
      <c r="Y14889" s="1354"/>
      <c r="Z14889" s="1060"/>
    </row>
    <row r="14890" spans="25:26">
      <c r="Y14890" s="1354"/>
      <c r="Z14890" s="1060"/>
    </row>
    <row r="14891" spans="25:26">
      <c r="Y14891" s="1354"/>
      <c r="Z14891" s="1060"/>
    </row>
    <row r="14892" spans="25:26">
      <c r="Y14892" s="1354"/>
      <c r="Z14892" s="1060"/>
    </row>
    <row r="14893" spans="25:26">
      <c r="Y14893" s="1354"/>
      <c r="Z14893" s="1060"/>
    </row>
    <row r="14894" spans="25:26">
      <c r="Y14894" s="1354"/>
      <c r="Z14894" s="1060"/>
    </row>
    <row r="14895" spans="25:26">
      <c r="Y14895" s="1354"/>
      <c r="Z14895" s="1060"/>
    </row>
    <row r="14896" spans="25:26">
      <c r="Y14896" s="1354"/>
      <c r="Z14896" s="1060"/>
    </row>
    <row r="14897" spans="25:26">
      <c r="Y14897" s="1354"/>
      <c r="Z14897" s="1060"/>
    </row>
    <row r="14898" spans="25:26">
      <c r="Y14898" s="1354"/>
      <c r="Z14898" s="1060"/>
    </row>
    <row r="14899" spans="25:26">
      <c r="Y14899" s="1354"/>
      <c r="Z14899" s="1060"/>
    </row>
    <row r="14900" spans="25:26">
      <c r="Y14900" s="1354"/>
      <c r="Z14900" s="1060"/>
    </row>
    <row r="14901" spans="25:26">
      <c r="Y14901" s="1354"/>
      <c r="Z14901" s="1060"/>
    </row>
    <row r="14902" spans="25:26">
      <c r="Y14902" s="1354"/>
      <c r="Z14902" s="1060"/>
    </row>
    <row r="14903" spans="25:26">
      <c r="Y14903" s="1354"/>
      <c r="Z14903" s="1060"/>
    </row>
    <row r="14904" spans="25:26">
      <c r="Y14904" s="1354"/>
      <c r="Z14904" s="1060"/>
    </row>
    <row r="14905" spans="25:26">
      <c r="Y14905" s="1354"/>
      <c r="Z14905" s="1060"/>
    </row>
    <row r="14906" spans="25:26">
      <c r="Y14906" s="1354"/>
      <c r="Z14906" s="1060"/>
    </row>
    <row r="14907" spans="25:26">
      <c r="Y14907" s="1354"/>
      <c r="Z14907" s="1060"/>
    </row>
    <row r="14908" spans="25:26">
      <c r="Y14908" s="1354"/>
      <c r="Z14908" s="1060"/>
    </row>
    <row r="14909" spans="25:26">
      <c r="Y14909" s="1354"/>
      <c r="Z14909" s="1060"/>
    </row>
    <row r="14910" spans="25:26">
      <c r="Y14910" s="1354"/>
      <c r="Z14910" s="1060"/>
    </row>
    <row r="14911" spans="25:26">
      <c r="Y14911" s="1354"/>
      <c r="Z14911" s="1060"/>
    </row>
    <row r="14912" spans="25:26">
      <c r="Y14912" s="1354"/>
      <c r="Z14912" s="1060"/>
    </row>
    <row r="14913" spans="25:26">
      <c r="Y14913" s="1354"/>
      <c r="Z14913" s="1060"/>
    </row>
    <row r="14914" spans="25:26">
      <c r="Y14914" s="1354"/>
      <c r="Z14914" s="1060"/>
    </row>
    <row r="14915" spans="25:26">
      <c r="Y14915" s="1354"/>
      <c r="Z14915" s="1060"/>
    </row>
    <row r="14916" spans="25:26">
      <c r="Y14916" s="1354"/>
      <c r="Z14916" s="1060"/>
    </row>
    <row r="14917" spans="25:26">
      <c r="Y14917" s="1354"/>
      <c r="Z14917" s="1060"/>
    </row>
    <row r="14918" spans="25:26">
      <c r="Y14918" s="1354"/>
      <c r="Z14918" s="1060"/>
    </row>
    <row r="14919" spans="25:26">
      <c r="Y14919" s="1354"/>
      <c r="Z14919" s="1060"/>
    </row>
    <row r="14920" spans="25:26">
      <c r="Y14920" s="1354"/>
      <c r="Z14920" s="1060"/>
    </row>
    <row r="14921" spans="25:26">
      <c r="Y14921" s="1354"/>
      <c r="Z14921" s="1060"/>
    </row>
    <row r="14922" spans="25:26">
      <c r="Y14922" s="1354"/>
      <c r="Z14922" s="1060"/>
    </row>
    <row r="14923" spans="25:26">
      <c r="Y14923" s="1354"/>
      <c r="Z14923" s="1060"/>
    </row>
    <row r="14924" spans="25:26">
      <c r="Y14924" s="1354"/>
      <c r="Z14924" s="1060"/>
    </row>
    <row r="14925" spans="25:26">
      <c r="Y14925" s="1354"/>
      <c r="Z14925" s="1060"/>
    </row>
    <row r="14926" spans="25:26">
      <c r="Y14926" s="1354"/>
      <c r="Z14926" s="1060"/>
    </row>
    <row r="14927" spans="25:26">
      <c r="Y14927" s="1354"/>
      <c r="Z14927" s="1060"/>
    </row>
    <row r="14928" spans="25:26">
      <c r="Y14928" s="1354"/>
      <c r="Z14928" s="1060"/>
    </row>
    <row r="14929" spans="25:26">
      <c r="Y14929" s="1354"/>
      <c r="Z14929" s="1060"/>
    </row>
    <row r="14930" spans="25:26">
      <c r="Y14930" s="1354"/>
      <c r="Z14930" s="1060"/>
    </row>
    <row r="14931" spans="25:26">
      <c r="Y14931" s="1354"/>
      <c r="Z14931" s="1060"/>
    </row>
    <row r="14932" spans="25:26">
      <c r="Y14932" s="1354"/>
      <c r="Z14932" s="1060"/>
    </row>
    <row r="14933" spans="25:26">
      <c r="Y14933" s="1354"/>
      <c r="Z14933" s="1060"/>
    </row>
    <row r="14934" spans="25:26">
      <c r="Y14934" s="1354"/>
      <c r="Z14934" s="1060"/>
    </row>
    <row r="14935" spans="25:26">
      <c r="Y14935" s="1354"/>
      <c r="Z14935" s="1060"/>
    </row>
    <row r="14936" spans="25:26">
      <c r="Y14936" s="1354"/>
      <c r="Z14936" s="1060"/>
    </row>
    <row r="14937" spans="25:26">
      <c r="Y14937" s="1354"/>
      <c r="Z14937" s="1060"/>
    </row>
    <row r="14938" spans="25:26">
      <c r="Y14938" s="1354"/>
      <c r="Z14938" s="1060"/>
    </row>
    <row r="14939" spans="25:26">
      <c r="Y14939" s="1354"/>
      <c r="Z14939" s="1060"/>
    </row>
    <row r="14940" spans="25:26">
      <c r="Y14940" s="1354"/>
      <c r="Z14940" s="1060"/>
    </row>
    <row r="14941" spans="25:26">
      <c r="Y14941" s="1354"/>
      <c r="Z14941" s="1060"/>
    </row>
    <row r="14942" spans="25:26">
      <c r="Y14942" s="1354"/>
      <c r="Z14942" s="1060"/>
    </row>
    <row r="14943" spans="25:26">
      <c r="Y14943" s="1354"/>
      <c r="Z14943" s="1060"/>
    </row>
    <row r="14944" spans="25:26">
      <c r="Y14944" s="1354"/>
      <c r="Z14944" s="1060"/>
    </row>
    <row r="14945" spans="25:26">
      <c r="Y14945" s="1354"/>
      <c r="Z14945" s="1060"/>
    </row>
    <row r="14946" spans="25:26">
      <c r="Y14946" s="1354"/>
      <c r="Z14946" s="1060"/>
    </row>
    <row r="14947" spans="25:26">
      <c r="Y14947" s="1354"/>
      <c r="Z14947" s="1060"/>
    </row>
    <row r="14948" spans="25:26">
      <c r="Y14948" s="1354"/>
      <c r="Z14948" s="1060"/>
    </row>
    <row r="14949" spans="25:26">
      <c r="Y14949" s="1354"/>
      <c r="Z14949" s="1060"/>
    </row>
    <row r="14950" spans="25:26">
      <c r="Y14950" s="1354"/>
      <c r="Z14950" s="1060"/>
    </row>
    <row r="14951" spans="25:26">
      <c r="Y14951" s="1354"/>
      <c r="Z14951" s="1060"/>
    </row>
    <row r="14952" spans="25:26">
      <c r="Y14952" s="1354"/>
      <c r="Z14952" s="1060"/>
    </row>
    <row r="14953" spans="25:26">
      <c r="Y14953" s="1354"/>
      <c r="Z14953" s="1060"/>
    </row>
    <row r="14954" spans="25:26">
      <c r="Y14954" s="1354"/>
      <c r="Z14954" s="1060"/>
    </row>
    <row r="14955" spans="25:26">
      <c r="Y14955" s="1354"/>
      <c r="Z14955" s="1060"/>
    </row>
    <row r="14956" spans="25:26">
      <c r="Y14956" s="1354"/>
      <c r="Z14956" s="1060"/>
    </row>
    <row r="14957" spans="25:26">
      <c r="Y14957" s="1354"/>
      <c r="Z14957" s="1060"/>
    </row>
    <row r="14958" spans="25:26">
      <c r="Y14958" s="1354"/>
      <c r="Z14958" s="1060"/>
    </row>
    <row r="14959" spans="25:26">
      <c r="Y14959" s="1354"/>
      <c r="Z14959" s="1060"/>
    </row>
    <row r="14960" spans="25:26">
      <c r="Y14960" s="1354"/>
      <c r="Z14960" s="1060"/>
    </row>
    <row r="14961" spans="25:26">
      <c r="Y14961" s="1354"/>
      <c r="Z14961" s="1060"/>
    </row>
    <row r="14962" spans="25:26">
      <c r="Y14962" s="1354"/>
      <c r="Z14962" s="1060"/>
    </row>
    <row r="14963" spans="25:26">
      <c r="Y14963" s="1354"/>
      <c r="Z14963" s="1060"/>
    </row>
    <row r="14964" spans="25:26">
      <c r="Y14964" s="1354"/>
      <c r="Z14964" s="1060"/>
    </row>
    <row r="14965" spans="25:26">
      <c r="Y14965" s="1354"/>
      <c r="Z14965" s="1060"/>
    </row>
    <row r="14966" spans="25:26">
      <c r="Y14966" s="1354"/>
      <c r="Z14966" s="1060"/>
    </row>
    <row r="14967" spans="25:26">
      <c r="Y14967" s="1354"/>
      <c r="Z14967" s="1060"/>
    </row>
    <row r="14968" spans="25:26">
      <c r="Y14968" s="1354"/>
      <c r="Z14968" s="1060"/>
    </row>
    <row r="14969" spans="25:26">
      <c r="Y14969" s="1354"/>
      <c r="Z14969" s="1060"/>
    </row>
    <row r="14970" spans="25:26">
      <c r="Y14970" s="1354"/>
      <c r="Z14970" s="1060"/>
    </row>
    <row r="14971" spans="25:26">
      <c r="Y14971" s="1354"/>
      <c r="Z14971" s="1060"/>
    </row>
    <row r="14972" spans="25:26">
      <c r="Y14972" s="1354"/>
      <c r="Z14972" s="1060"/>
    </row>
    <row r="14973" spans="25:26">
      <c r="Y14973" s="1354"/>
      <c r="Z14973" s="1060"/>
    </row>
    <row r="14974" spans="25:26">
      <c r="Y14974" s="1354"/>
      <c r="Z14974" s="1060"/>
    </row>
    <row r="14975" spans="25:26">
      <c r="Y14975" s="1354"/>
      <c r="Z14975" s="1060"/>
    </row>
    <row r="14976" spans="25:26">
      <c r="Y14976" s="1354"/>
      <c r="Z14976" s="1060"/>
    </row>
    <row r="14977" spans="25:26">
      <c r="Y14977" s="1354"/>
      <c r="Z14977" s="1060"/>
    </row>
    <row r="14978" spans="25:26">
      <c r="Y14978" s="1354"/>
      <c r="Z14978" s="1060"/>
    </row>
    <row r="14979" spans="25:26">
      <c r="Y14979" s="1354"/>
      <c r="Z14979" s="1060"/>
    </row>
    <row r="14980" spans="25:26">
      <c r="Y14980" s="1354"/>
      <c r="Z14980" s="1060"/>
    </row>
    <row r="14981" spans="25:26">
      <c r="Y14981" s="1354"/>
      <c r="Z14981" s="1060"/>
    </row>
    <row r="14982" spans="25:26">
      <c r="Y14982" s="1354"/>
      <c r="Z14982" s="1060"/>
    </row>
    <row r="14983" spans="25:26">
      <c r="Y14983" s="1354"/>
      <c r="Z14983" s="1060"/>
    </row>
    <row r="14984" spans="25:26">
      <c r="Y14984" s="1354"/>
      <c r="Z14984" s="1060"/>
    </row>
    <row r="14985" spans="25:26">
      <c r="Y14985" s="1354"/>
      <c r="Z14985" s="1060"/>
    </row>
    <row r="14986" spans="25:26">
      <c r="Y14986" s="1354"/>
      <c r="Z14986" s="1060"/>
    </row>
    <row r="14987" spans="25:26">
      <c r="Y14987" s="1354"/>
      <c r="Z14987" s="1060"/>
    </row>
    <row r="14988" spans="25:26">
      <c r="Y14988" s="1354"/>
      <c r="Z14988" s="1060"/>
    </row>
    <row r="14989" spans="25:26">
      <c r="Y14989" s="1354"/>
      <c r="Z14989" s="1060"/>
    </row>
    <row r="14990" spans="25:26">
      <c r="Y14990" s="1354"/>
      <c r="Z14990" s="1060"/>
    </row>
    <row r="14991" spans="25:26">
      <c r="Y14991" s="1354"/>
      <c r="Z14991" s="1060"/>
    </row>
    <row r="14992" spans="25:26">
      <c r="Y14992" s="1354"/>
      <c r="Z14992" s="1060"/>
    </row>
    <row r="14993" spans="25:26">
      <c r="Y14993" s="1354"/>
      <c r="Z14993" s="1060"/>
    </row>
    <row r="14994" spans="25:26">
      <c r="Y14994" s="1354"/>
      <c r="Z14994" s="1060"/>
    </row>
    <row r="14995" spans="25:26">
      <c r="Y14995" s="1354"/>
      <c r="Z14995" s="1060"/>
    </row>
    <row r="14996" spans="25:26">
      <c r="Y14996" s="1354"/>
      <c r="Z14996" s="1060"/>
    </row>
    <row r="14997" spans="25:26">
      <c r="Y14997" s="1354"/>
      <c r="Z14997" s="1060"/>
    </row>
    <row r="14998" spans="25:26">
      <c r="Y14998" s="1354"/>
      <c r="Z14998" s="1060"/>
    </row>
    <row r="14999" spans="25:26">
      <c r="Y14999" s="1354"/>
      <c r="Z14999" s="1060"/>
    </row>
    <row r="15000" spans="25:26">
      <c r="Y15000" s="1354"/>
      <c r="Z15000" s="1060"/>
    </row>
    <row r="15001" spans="25:26">
      <c r="Y15001" s="1354"/>
      <c r="Z15001" s="1060"/>
    </row>
    <row r="15002" spans="25:26">
      <c r="Y15002" s="1354"/>
      <c r="Z15002" s="1060"/>
    </row>
    <row r="15003" spans="25:26">
      <c r="Y15003" s="1354"/>
      <c r="Z15003" s="1060"/>
    </row>
    <row r="15004" spans="25:26">
      <c r="Y15004" s="1354"/>
      <c r="Z15004" s="1060"/>
    </row>
    <row r="15005" spans="25:26">
      <c r="Y15005" s="1354"/>
      <c r="Z15005" s="1060"/>
    </row>
    <row r="15006" spans="25:26">
      <c r="Y15006" s="1354"/>
      <c r="Z15006" s="1060"/>
    </row>
    <row r="15007" spans="25:26">
      <c r="Y15007" s="1354"/>
      <c r="Z15007" s="1060"/>
    </row>
    <row r="15008" spans="25:26">
      <c r="Y15008" s="1354"/>
      <c r="Z15008" s="1060"/>
    </row>
    <row r="15009" spans="25:26">
      <c r="Y15009" s="1354"/>
      <c r="Z15009" s="1060"/>
    </row>
    <row r="15010" spans="25:26">
      <c r="Y15010" s="1354"/>
      <c r="Z15010" s="1060"/>
    </row>
    <row r="15011" spans="25:26">
      <c r="Y15011" s="1354"/>
      <c r="Z15011" s="1060"/>
    </row>
    <row r="15012" spans="25:26">
      <c r="Y15012" s="1354"/>
      <c r="Z15012" s="1060"/>
    </row>
    <row r="15013" spans="25:26">
      <c r="Y15013" s="1354"/>
      <c r="Z15013" s="1060"/>
    </row>
    <row r="15014" spans="25:26">
      <c r="Y15014" s="1354"/>
      <c r="Z15014" s="1060"/>
    </row>
    <row r="15015" spans="25:26">
      <c r="Y15015" s="1354"/>
      <c r="Z15015" s="1060"/>
    </row>
    <row r="15016" spans="25:26">
      <c r="Y15016" s="1354"/>
      <c r="Z15016" s="1060"/>
    </row>
    <row r="15017" spans="25:26">
      <c r="Y15017" s="1354"/>
      <c r="Z15017" s="1060"/>
    </row>
    <row r="15018" spans="25:26">
      <c r="Y15018" s="1354"/>
      <c r="Z15018" s="1060"/>
    </row>
    <row r="15019" spans="25:26">
      <c r="Y15019" s="1354"/>
      <c r="Z15019" s="1060"/>
    </row>
    <row r="15020" spans="25:26">
      <c r="Y15020" s="1354"/>
      <c r="Z15020" s="1060"/>
    </row>
    <row r="15021" spans="25:26">
      <c r="Y15021" s="1354"/>
      <c r="Z15021" s="1060"/>
    </row>
    <row r="15022" spans="25:26">
      <c r="Y15022" s="1354"/>
      <c r="Z15022" s="1060"/>
    </row>
    <row r="15023" spans="25:26">
      <c r="Y15023" s="1354"/>
      <c r="Z15023" s="1060"/>
    </row>
    <row r="15024" spans="25:26">
      <c r="Y15024" s="1354"/>
      <c r="Z15024" s="1060"/>
    </row>
    <row r="15025" spans="25:26">
      <c r="Y15025" s="1354"/>
      <c r="Z15025" s="1060"/>
    </row>
    <row r="15026" spans="25:26">
      <c r="Y15026" s="1354"/>
      <c r="Z15026" s="1060"/>
    </row>
    <row r="15027" spans="25:26">
      <c r="Y15027" s="1354"/>
      <c r="Z15027" s="1060"/>
    </row>
    <row r="15028" spans="25:26">
      <c r="Y15028" s="1354"/>
      <c r="Z15028" s="1060"/>
    </row>
    <row r="15029" spans="25:26">
      <c r="Y15029" s="1354"/>
      <c r="Z15029" s="1060"/>
    </row>
    <row r="15030" spans="25:26">
      <c r="Y15030" s="1354"/>
      <c r="Z15030" s="1060"/>
    </row>
    <row r="15031" spans="25:26">
      <c r="Y15031" s="1354"/>
      <c r="Z15031" s="1060"/>
    </row>
    <row r="15032" spans="25:26">
      <c r="Y15032" s="1354"/>
      <c r="Z15032" s="1060"/>
    </row>
    <row r="15033" spans="25:26">
      <c r="Y15033" s="1354"/>
      <c r="Z15033" s="1060"/>
    </row>
    <row r="15034" spans="25:26">
      <c r="Y15034" s="1354"/>
      <c r="Z15034" s="1060"/>
    </row>
    <row r="15035" spans="25:26">
      <c r="Y15035" s="1354"/>
      <c r="Z15035" s="1060"/>
    </row>
    <row r="15036" spans="25:26">
      <c r="Y15036" s="1354"/>
      <c r="Z15036" s="1060"/>
    </row>
    <row r="15037" spans="25:26">
      <c r="Y15037" s="1354"/>
      <c r="Z15037" s="1060"/>
    </row>
    <row r="15038" spans="25:26">
      <c r="Y15038" s="1354"/>
      <c r="Z15038" s="1060"/>
    </row>
    <row r="15039" spans="25:26">
      <c r="Y15039" s="1354"/>
      <c r="Z15039" s="1060"/>
    </row>
    <row r="15040" spans="25:26">
      <c r="Y15040" s="1354"/>
      <c r="Z15040" s="1060"/>
    </row>
    <row r="15041" spans="25:26">
      <c r="Y15041" s="1354"/>
      <c r="Z15041" s="1060"/>
    </row>
    <row r="15042" spans="25:26">
      <c r="Y15042" s="1354"/>
      <c r="Z15042" s="1060"/>
    </row>
    <row r="15043" spans="25:26">
      <c r="Y15043" s="1354"/>
      <c r="Z15043" s="1060"/>
    </row>
    <row r="15044" spans="25:26">
      <c r="Y15044" s="1354"/>
      <c r="Z15044" s="1060"/>
    </row>
    <row r="15045" spans="25:26">
      <c r="Y15045" s="1354"/>
      <c r="Z15045" s="1060"/>
    </row>
    <row r="15046" spans="25:26">
      <c r="Y15046" s="1354"/>
      <c r="Z15046" s="1060"/>
    </row>
    <row r="15047" spans="25:26">
      <c r="Y15047" s="1354"/>
      <c r="Z15047" s="1060"/>
    </row>
    <row r="15048" spans="25:26">
      <c r="Y15048" s="1354"/>
      <c r="Z15048" s="1060"/>
    </row>
    <row r="15049" spans="25:26">
      <c r="Y15049" s="1354"/>
      <c r="Z15049" s="1060"/>
    </row>
    <row r="15050" spans="25:26">
      <c r="Y15050" s="1354"/>
      <c r="Z15050" s="1060"/>
    </row>
    <row r="15051" spans="25:26">
      <c r="Y15051" s="1354"/>
      <c r="Z15051" s="1060"/>
    </row>
    <row r="15052" spans="25:26">
      <c r="Y15052" s="1354"/>
      <c r="Z15052" s="1060"/>
    </row>
    <row r="15053" spans="25:26">
      <c r="Y15053" s="1354"/>
      <c r="Z15053" s="1060"/>
    </row>
    <row r="15054" spans="25:26">
      <c r="Y15054" s="1354"/>
      <c r="Z15054" s="1060"/>
    </row>
    <row r="15055" spans="25:26">
      <c r="Y15055" s="1354"/>
      <c r="Z15055" s="1060"/>
    </row>
    <row r="15056" spans="25:26">
      <c r="Y15056" s="1354"/>
      <c r="Z15056" s="1060"/>
    </row>
    <row r="15057" spans="25:26">
      <c r="Y15057" s="1354"/>
      <c r="Z15057" s="1060"/>
    </row>
    <row r="15058" spans="25:26">
      <c r="Y15058" s="1354"/>
      <c r="Z15058" s="1060"/>
    </row>
    <row r="15059" spans="25:26">
      <c r="Y15059" s="1354"/>
      <c r="Z15059" s="1060"/>
    </row>
    <row r="15060" spans="25:26">
      <c r="Y15060" s="1354"/>
      <c r="Z15060" s="1060"/>
    </row>
    <row r="15061" spans="25:26">
      <c r="Y15061" s="1354"/>
      <c r="Z15061" s="1060"/>
    </row>
    <row r="15062" spans="25:26">
      <c r="Y15062" s="1354"/>
      <c r="Z15062" s="1060"/>
    </row>
    <row r="15063" spans="25:26">
      <c r="Y15063" s="1354"/>
      <c r="Z15063" s="1060"/>
    </row>
    <row r="15064" spans="25:26">
      <c r="Y15064" s="1354"/>
      <c r="Z15064" s="1060"/>
    </row>
    <row r="15065" spans="25:26">
      <c r="Y15065" s="1354"/>
      <c r="Z15065" s="1060"/>
    </row>
    <row r="15066" spans="25:26">
      <c r="Y15066" s="1354"/>
      <c r="Z15066" s="1060"/>
    </row>
    <row r="15067" spans="25:26">
      <c r="Y15067" s="1354"/>
      <c r="Z15067" s="1060"/>
    </row>
    <row r="15068" spans="25:26">
      <c r="Y15068" s="1354"/>
      <c r="Z15068" s="1060"/>
    </row>
    <row r="15069" spans="25:26">
      <c r="Y15069" s="1354"/>
      <c r="Z15069" s="1060"/>
    </row>
    <row r="15070" spans="25:26">
      <c r="Y15070" s="1354"/>
      <c r="Z15070" s="1060"/>
    </row>
    <row r="15071" spans="25:26">
      <c r="Y15071" s="1354"/>
      <c r="Z15071" s="1060"/>
    </row>
    <row r="15072" spans="25:26">
      <c r="Y15072" s="1354"/>
      <c r="Z15072" s="1060"/>
    </row>
    <row r="15073" spans="25:26">
      <c r="Y15073" s="1354"/>
      <c r="Z15073" s="1060"/>
    </row>
    <row r="15074" spans="25:26">
      <c r="Y15074" s="1354"/>
      <c r="Z15074" s="1060"/>
    </row>
    <row r="15075" spans="25:26">
      <c r="Y15075" s="1354"/>
      <c r="Z15075" s="1060"/>
    </row>
    <row r="15076" spans="25:26">
      <c r="Y15076" s="1354"/>
      <c r="Z15076" s="1060"/>
    </row>
    <row r="15077" spans="25:26">
      <c r="Y15077" s="1354"/>
      <c r="Z15077" s="1060"/>
    </row>
    <row r="15078" spans="25:26">
      <c r="Y15078" s="1354"/>
      <c r="Z15078" s="1060"/>
    </row>
    <row r="15079" spans="25:26">
      <c r="Y15079" s="1354"/>
      <c r="Z15079" s="1060"/>
    </row>
    <row r="15080" spans="25:26">
      <c r="Y15080" s="1354"/>
      <c r="Z15080" s="1060"/>
    </row>
    <row r="15081" spans="25:26">
      <c r="Y15081" s="1354"/>
      <c r="Z15081" s="1060"/>
    </row>
    <row r="15082" spans="25:26">
      <c r="Y15082" s="1354"/>
      <c r="Z15082" s="1060"/>
    </row>
    <row r="15083" spans="25:26">
      <c r="Y15083" s="1354"/>
      <c r="Z15083" s="1060"/>
    </row>
    <row r="15084" spans="25:26">
      <c r="Y15084" s="1354"/>
      <c r="Z15084" s="1060"/>
    </row>
    <row r="15085" spans="25:26">
      <c r="Y15085" s="1354"/>
      <c r="Z15085" s="1060"/>
    </row>
    <row r="15086" spans="25:26">
      <c r="Y15086" s="1354"/>
      <c r="Z15086" s="1060"/>
    </row>
    <row r="15087" spans="25:26">
      <c r="Y15087" s="1354"/>
      <c r="Z15087" s="1060"/>
    </row>
    <row r="15088" spans="25:26">
      <c r="Y15088" s="1354"/>
      <c r="Z15088" s="1060"/>
    </row>
    <row r="15089" spans="25:26">
      <c r="Y15089" s="1354"/>
      <c r="Z15089" s="1060"/>
    </row>
    <row r="15090" spans="25:26">
      <c r="Y15090" s="1354"/>
      <c r="Z15090" s="1060"/>
    </row>
    <row r="15091" spans="25:26">
      <c r="Y15091" s="1354"/>
      <c r="Z15091" s="1060"/>
    </row>
    <row r="15092" spans="25:26">
      <c r="Y15092" s="1354"/>
      <c r="Z15092" s="1060"/>
    </row>
    <row r="15093" spans="25:26">
      <c r="Y15093" s="1354"/>
      <c r="Z15093" s="1060"/>
    </row>
    <row r="15094" spans="25:26">
      <c r="Y15094" s="1354"/>
      <c r="Z15094" s="1060"/>
    </row>
    <row r="15095" spans="25:26">
      <c r="Y15095" s="1354"/>
      <c r="Z15095" s="1060"/>
    </row>
    <row r="15096" spans="25:26">
      <c r="Y15096" s="1354"/>
      <c r="Z15096" s="1060"/>
    </row>
    <row r="15097" spans="25:26">
      <c r="Y15097" s="1354"/>
      <c r="Z15097" s="1060"/>
    </row>
    <row r="15098" spans="25:26">
      <c r="Y15098" s="1354"/>
      <c r="Z15098" s="1060"/>
    </row>
    <row r="15099" spans="25:26">
      <c r="Y15099" s="1354"/>
      <c r="Z15099" s="1060"/>
    </row>
    <row r="15100" spans="25:26">
      <c r="Y15100" s="1354"/>
      <c r="Z15100" s="1060"/>
    </row>
    <row r="15101" spans="25:26">
      <c r="Y15101" s="1354"/>
      <c r="Z15101" s="1060"/>
    </row>
    <row r="15102" spans="25:26">
      <c r="Y15102" s="1354"/>
      <c r="Z15102" s="1060"/>
    </row>
    <row r="15103" spans="25:26">
      <c r="Y15103" s="1354"/>
      <c r="Z15103" s="1060"/>
    </row>
    <row r="15104" spans="25:26">
      <c r="Y15104" s="1354"/>
      <c r="Z15104" s="1060"/>
    </row>
    <row r="15105" spans="25:26">
      <c r="Y15105" s="1354"/>
      <c r="Z15105" s="1060"/>
    </row>
    <row r="15106" spans="25:26">
      <c r="Y15106" s="1354"/>
      <c r="Z15106" s="1060"/>
    </row>
    <row r="15107" spans="25:26">
      <c r="Y15107" s="1354"/>
      <c r="Z15107" s="1060"/>
    </row>
    <row r="15108" spans="25:26">
      <c r="Y15108" s="1354"/>
      <c r="Z15108" s="1060"/>
    </row>
    <row r="15109" spans="25:26">
      <c r="Y15109" s="1354"/>
      <c r="Z15109" s="1060"/>
    </row>
    <row r="15110" spans="25:26">
      <c r="Y15110" s="1354"/>
      <c r="Z15110" s="1060"/>
    </row>
    <row r="15111" spans="25:26">
      <c r="Y15111" s="1354"/>
      <c r="Z15111" s="1060"/>
    </row>
    <row r="15112" spans="25:26">
      <c r="Y15112" s="1354"/>
      <c r="Z15112" s="1060"/>
    </row>
    <row r="15113" spans="25:26">
      <c r="Y15113" s="1354"/>
      <c r="Z15113" s="1060"/>
    </row>
    <row r="15114" spans="25:26">
      <c r="Y15114" s="1354"/>
      <c r="Z15114" s="1060"/>
    </row>
    <row r="15115" spans="25:26">
      <c r="Y15115" s="1354"/>
      <c r="Z15115" s="1060"/>
    </row>
    <row r="15116" spans="25:26">
      <c r="Y15116" s="1354"/>
      <c r="Z15116" s="1060"/>
    </row>
    <row r="15117" spans="25:26">
      <c r="Y15117" s="1354"/>
      <c r="Z15117" s="1060"/>
    </row>
    <row r="15118" spans="25:26">
      <c r="Y15118" s="1354"/>
      <c r="Z15118" s="1060"/>
    </row>
    <row r="15119" spans="25:26">
      <c r="Y15119" s="1354"/>
      <c r="Z15119" s="1060"/>
    </row>
    <row r="15120" spans="25:26">
      <c r="Y15120" s="1354"/>
      <c r="Z15120" s="1060"/>
    </row>
    <row r="15121" spans="25:26">
      <c r="Y15121" s="1354"/>
      <c r="Z15121" s="1060"/>
    </row>
    <row r="15122" spans="25:26">
      <c r="Y15122" s="1354"/>
      <c r="Z15122" s="1060"/>
    </row>
    <row r="15123" spans="25:26">
      <c r="Y15123" s="1354"/>
      <c r="Z15123" s="1060"/>
    </row>
    <row r="15124" spans="25:26">
      <c r="Y15124" s="1354"/>
      <c r="Z15124" s="1060"/>
    </row>
    <row r="15125" spans="25:26">
      <c r="Y15125" s="1354"/>
      <c r="Z15125" s="1060"/>
    </row>
    <row r="15126" spans="25:26">
      <c r="Y15126" s="1354"/>
      <c r="Z15126" s="1060"/>
    </row>
    <row r="15127" spans="25:26">
      <c r="Y15127" s="1354"/>
      <c r="Z15127" s="1060"/>
    </row>
    <row r="15128" spans="25:26">
      <c r="Y15128" s="1354"/>
      <c r="Z15128" s="1060"/>
    </row>
    <row r="15129" spans="25:26">
      <c r="Y15129" s="1354"/>
      <c r="Z15129" s="1060"/>
    </row>
    <row r="15130" spans="25:26">
      <c r="Y15130" s="1354"/>
      <c r="Z15130" s="1060"/>
    </row>
    <row r="15131" spans="25:26">
      <c r="Y15131" s="1354"/>
      <c r="Z15131" s="1060"/>
    </row>
    <row r="15132" spans="25:26">
      <c r="Y15132" s="1354"/>
      <c r="Z15132" s="1060"/>
    </row>
    <row r="15133" spans="25:26">
      <c r="Y15133" s="1354"/>
      <c r="Z15133" s="1060"/>
    </row>
    <row r="15134" spans="25:26">
      <c r="Y15134" s="1354"/>
      <c r="Z15134" s="1060"/>
    </row>
    <row r="15135" spans="25:26">
      <c r="Y15135" s="1354"/>
      <c r="Z15135" s="1060"/>
    </row>
    <row r="15136" spans="25:26">
      <c r="Y15136" s="1354"/>
      <c r="Z15136" s="1060"/>
    </row>
    <row r="15137" spans="25:26">
      <c r="Y15137" s="1354"/>
      <c r="Z15137" s="1060"/>
    </row>
    <row r="15138" spans="25:26">
      <c r="Y15138" s="1354"/>
      <c r="Z15138" s="1060"/>
    </row>
    <row r="15139" spans="25:26">
      <c r="Y15139" s="1354"/>
      <c r="Z15139" s="1060"/>
    </row>
    <row r="15140" spans="25:26">
      <c r="Y15140" s="1354"/>
      <c r="Z15140" s="1060"/>
    </row>
    <row r="15141" spans="25:26">
      <c r="Y15141" s="1354"/>
      <c r="Z15141" s="1060"/>
    </row>
    <row r="15142" spans="25:26">
      <c r="Y15142" s="1354"/>
      <c r="Z15142" s="1060"/>
    </row>
    <row r="15143" spans="25:26">
      <c r="Y15143" s="1354"/>
      <c r="Z15143" s="1060"/>
    </row>
    <row r="15144" spans="25:26">
      <c r="Y15144" s="1354"/>
      <c r="Z15144" s="1060"/>
    </row>
    <row r="15145" spans="25:26">
      <c r="Y15145" s="1354"/>
      <c r="Z15145" s="1060"/>
    </row>
    <row r="15146" spans="25:26">
      <c r="Y15146" s="1354"/>
      <c r="Z15146" s="1060"/>
    </row>
    <row r="15147" spans="25:26">
      <c r="Y15147" s="1354"/>
      <c r="Z15147" s="1060"/>
    </row>
    <row r="15148" spans="25:26">
      <c r="Y15148" s="1354"/>
      <c r="Z15148" s="1060"/>
    </row>
    <row r="15149" spans="25:26">
      <c r="Y15149" s="1354"/>
      <c r="Z15149" s="1060"/>
    </row>
    <row r="15150" spans="25:26">
      <c r="Y15150" s="1354"/>
      <c r="Z15150" s="1060"/>
    </row>
    <row r="15151" spans="25:26">
      <c r="Y15151" s="1354"/>
      <c r="Z15151" s="1060"/>
    </row>
    <row r="15152" spans="25:26">
      <c r="Y15152" s="1354"/>
      <c r="Z15152" s="1060"/>
    </row>
    <row r="15153" spans="25:26">
      <c r="Y15153" s="1354"/>
      <c r="Z15153" s="1060"/>
    </row>
    <row r="15154" spans="25:26">
      <c r="Y15154" s="1354"/>
      <c r="Z15154" s="1060"/>
    </row>
    <row r="15155" spans="25:26">
      <c r="Y15155" s="1354"/>
      <c r="Z15155" s="1060"/>
    </row>
    <row r="15156" spans="25:26">
      <c r="Y15156" s="1354"/>
      <c r="Z15156" s="1060"/>
    </row>
    <row r="15157" spans="25:26">
      <c r="Y15157" s="1354"/>
      <c r="Z15157" s="1060"/>
    </row>
    <row r="15158" spans="25:26">
      <c r="Y15158" s="1354"/>
      <c r="Z15158" s="1060"/>
    </row>
    <row r="15159" spans="25:26">
      <c r="Y15159" s="1354"/>
      <c r="Z15159" s="1060"/>
    </row>
    <row r="15160" spans="25:26">
      <c r="Y15160" s="1354"/>
      <c r="Z15160" s="1060"/>
    </row>
    <row r="15161" spans="25:26">
      <c r="Y15161" s="1354"/>
      <c r="Z15161" s="1060"/>
    </row>
    <row r="15162" spans="25:26">
      <c r="Y15162" s="1354"/>
      <c r="Z15162" s="1060"/>
    </row>
    <row r="15163" spans="25:26">
      <c r="Y15163" s="1354"/>
      <c r="Z15163" s="1060"/>
    </row>
    <row r="15164" spans="25:26">
      <c r="Y15164" s="1354"/>
      <c r="Z15164" s="1060"/>
    </row>
    <row r="15165" spans="25:26">
      <c r="Y15165" s="1354"/>
      <c r="Z15165" s="1060"/>
    </row>
    <row r="15166" spans="25:26">
      <c r="Y15166" s="1354"/>
      <c r="Z15166" s="1060"/>
    </row>
    <row r="15167" spans="25:26">
      <c r="Y15167" s="1354"/>
      <c r="Z15167" s="1060"/>
    </row>
    <row r="15168" spans="25:26">
      <c r="Y15168" s="1354"/>
      <c r="Z15168" s="1060"/>
    </row>
    <row r="15169" spans="25:26">
      <c r="Y15169" s="1354"/>
      <c r="Z15169" s="1060"/>
    </row>
    <row r="15170" spans="25:26">
      <c r="Y15170" s="1354"/>
      <c r="Z15170" s="1060"/>
    </row>
    <row r="15171" spans="25:26">
      <c r="Y15171" s="1354"/>
      <c r="Z15171" s="1060"/>
    </row>
    <row r="15172" spans="25:26">
      <c r="Y15172" s="1354"/>
      <c r="Z15172" s="1060"/>
    </row>
    <row r="15173" spans="25:26">
      <c r="Y15173" s="1354"/>
      <c r="Z15173" s="1060"/>
    </row>
    <row r="15174" spans="25:26">
      <c r="Y15174" s="1354"/>
      <c r="Z15174" s="1060"/>
    </row>
    <row r="15175" spans="25:26">
      <c r="Y15175" s="1354"/>
      <c r="Z15175" s="1060"/>
    </row>
    <row r="15176" spans="25:26">
      <c r="Y15176" s="1354"/>
      <c r="Z15176" s="1060"/>
    </row>
    <row r="15177" spans="25:26">
      <c r="Y15177" s="1354"/>
      <c r="Z15177" s="1060"/>
    </row>
    <row r="15178" spans="25:26">
      <c r="Y15178" s="1354"/>
      <c r="Z15178" s="1060"/>
    </row>
    <row r="15179" spans="25:26">
      <c r="Y15179" s="1354"/>
      <c r="Z15179" s="1060"/>
    </row>
    <row r="15180" spans="25:26">
      <c r="Y15180" s="1354"/>
      <c r="Z15180" s="1060"/>
    </row>
    <row r="15181" spans="25:26">
      <c r="Y15181" s="1354"/>
      <c r="Z15181" s="1060"/>
    </row>
    <row r="15182" spans="25:26">
      <c r="Y15182" s="1354"/>
      <c r="Z15182" s="1060"/>
    </row>
    <row r="15183" spans="25:26">
      <c r="Y15183" s="1354"/>
      <c r="Z15183" s="1060"/>
    </row>
    <row r="15184" spans="25:26">
      <c r="Y15184" s="1354"/>
      <c r="Z15184" s="1060"/>
    </row>
    <row r="15185" spans="25:26">
      <c r="Y15185" s="1354"/>
      <c r="Z15185" s="1060"/>
    </row>
    <row r="15186" spans="25:26">
      <c r="Y15186" s="1354"/>
      <c r="Z15186" s="1060"/>
    </row>
    <row r="15187" spans="25:26">
      <c r="Y15187" s="1354"/>
      <c r="Z15187" s="1060"/>
    </row>
    <row r="15188" spans="25:26">
      <c r="Y15188" s="1354"/>
      <c r="Z15188" s="1060"/>
    </row>
    <row r="15189" spans="25:26">
      <c r="Y15189" s="1354"/>
      <c r="Z15189" s="1060"/>
    </row>
    <row r="15190" spans="25:26">
      <c r="Y15190" s="1354"/>
      <c r="Z15190" s="1060"/>
    </row>
    <row r="15191" spans="25:26">
      <c r="Y15191" s="1354"/>
      <c r="Z15191" s="1060"/>
    </row>
    <row r="15192" spans="25:26">
      <c r="Y15192" s="1354"/>
      <c r="Z15192" s="1060"/>
    </row>
    <row r="15193" spans="25:26">
      <c r="Y15193" s="1354"/>
      <c r="Z15193" s="1060"/>
    </row>
    <row r="15194" spans="25:26">
      <c r="Y15194" s="1354"/>
      <c r="Z15194" s="1060"/>
    </row>
    <row r="15195" spans="25:26">
      <c r="Y15195" s="1354"/>
      <c r="Z15195" s="1060"/>
    </row>
    <row r="15196" spans="25:26">
      <c r="Y15196" s="1354"/>
      <c r="Z15196" s="1060"/>
    </row>
    <row r="15197" spans="25:26">
      <c r="Y15197" s="1354"/>
      <c r="Z15197" s="1060"/>
    </row>
    <row r="15198" spans="25:26">
      <c r="Y15198" s="1354"/>
      <c r="Z15198" s="1060"/>
    </row>
    <row r="15199" spans="25:26">
      <c r="Y15199" s="1354"/>
      <c r="Z15199" s="1060"/>
    </row>
    <row r="15200" spans="25:26">
      <c r="Y15200" s="1354"/>
      <c r="Z15200" s="1060"/>
    </row>
    <row r="15201" spans="25:26">
      <c r="Y15201" s="1354"/>
      <c r="Z15201" s="1060"/>
    </row>
    <row r="15202" spans="25:26">
      <c r="Y15202" s="1354"/>
      <c r="Z15202" s="1060"/>
    </row>
    <row r="15203" spans="25:26">
      <c r="Y15203" s="1354"/>
      <c r="Z15203" s="1060"/>
    </row>
    <row r="15204" spans="25:26">
      <c r="Y15204" s="1354"/>
      <c r="Z15204" s="1060"/>
    </row>
    <row r="15205" spans="25:26">
      <c r="Y15205" s="1354"/>
      <c r="Z15205" s="1060"/>
    </row>
    <row r="15206" spans="25:26">
      <c r="Y15206" s="1354"/>
      <c r="Z15206" s="1060"/>
    </row>
    <row r="15207" spans="25:26">
      <c r="Y15207" s="1354"/>
      <c r="Z15207" s="1060"/>
    </row>
    <row r="15208" spans="25:26">
      <c r="Y15208" s="1354"/>
      <c r="Z15208" s="1060"/>
    </row>
    <row r="15209" spans="25:26">
      <c r="Y15209" s="1354"/>
      <c r="Z15209" s="1060"/>
    </row>
    <row r="15210" spans="25:26">
      <c r="Y15210" s="1354"/>
      <c r="Z15210" s="1060"/>
    </row>
    <row r="15211" spans="25:26">
      <c r="Y15211" s="1354"/>
      <c r="Z15211" s="1060"/>
    </row>
    <row r="15212" spans="25:26">
      <c r="Y15212" s="1354"/>
      <c r="Z15212" s="1060"/>
    </row>
    <row r="15213" spans="25:26">
      <c r="Y15213" s="1354"/>
      <c r="Z15213" s="1060"/>
    </row>
    <row r="15214" spans="25:26">
      <c r="Y15214" s="1354"/>
      <c r="Z15214" s="1060"/>
    </row>
    <row r="15215" spans="25:26">
      <c r="Y15215" s="1354"/>
      <c r="Z15215" s="1060"/>
    </row>
    <row r="15216" spans="25:26">
      <c r="Y15216" s="1354"/>
      <c r="Z15216" s="1060"/>
    </row>
    <row r="15217" spans="25:26">
      <c r="Y15217" s="1354"/>
      <c r="Z15217" s="1060"/>
    </row>
    <row r="15218" spans="25:26">
      <c r="Y15218" s="1354"/>
      <c r="Z15218" s="1060"/>
    </row>
    <row r="15219" spans="25:26">
      <c r="Y15219" s="1354"/>
      <c r="Z15219" s="1060"/>
    </row>
    <row r="15220" spans="25:26">
      <c r="Y15220" s="1354"/>
      <c r="Z15220" s="1060"/>
    </row>
    <row r="15221" spans="25:26">
      <c r="Y15221" s="1354"/>
      <c r="Z15221" s="1060"/>
    </row>
    <row r="15222" spans="25:26">
      <c r="Y15222" s="1354"/>
      <c r="Z15222" s="1060"/>
    </row>
    <row r="15223" spans="25:26">
      <c r="Y15223" s="1354"/>
      <c r="Z15223" s="1060"/>
    </row>
    <row r="15224" spans="25:26">
      <c r="Y15224" s="1354"/>
      <c r="Z15224" s="1060"/>
    </row>
    <row r="15225" spans="25:26">
      <c r="Y15225" s="1354"/>
      <c r="Z15225" s="1060"/>
    </row>
    <row r="15226" spans="25:26">
      <c r="Y15226" s="1354"/>
      <c r="Z15226" s="1060"/>
    </row>
    <row r="15227" spans="25:26">
      <c r="Y15227" s="1354"/>
      <c r="Z15227" s="1060"/>
    </row>
    <row r="15228" spans="25:26">
      <c r="Y15228" s="1354"/>
      <c r="Z15228" s="1060"/>
    </row>
    <row r="15229" spans="25:26">
      <c r="Y15229" s="1354"/>
      <c r="Z15229" s="1060"/>
    </row>
    <row r="15230" spans="25:26">
      <c r="Y15230" s="1354"/>
      <c r="Z15230" s="1060"/>
    </row>
    <row r="15231" spans="25:26">
      <c r="Y15231" s="1354"/>
      <c r="Z15231" s="1060"/>
    </row>
    <row r="15232" spans="25:26">
      <c r="Y15232" s="1354"/>
      <c r="Z15232" s="1060"/>
    </row>
    <row r="15233" spans="25:26">
      <c r="Y15233" s="1354"/>
      <c r="Z15233" s="1060"/>
    </row>
    <row r="15234" spans="25:26">
      <c r="Y15234" s="1354"/>
      <c r="Z15234" s="1060"/>
    </row>
    <row r="15235" spans="25:26">
      <c r="Y15235" s="1354"/>
      <c r="Z15235" s="1060"/>
    </row>
    <row r="15236" spans="25:26">
      <c r="Y15236" s="1354"/>
      <c r="Z15236" s="1060"/>
    </row>
    <row r="15237" spans="25:26">
      <c r="Y15237" s="1354"/>
      <c r="Z15237" s="1060"/>
    </row>
    <row r="15238" spans="25:26">
      <c r="Y15238" s="1354"/>
      <c r="Z15238" s="1060"/>
    </row>
    <row r="15239" spans="25:26">
      <c r="Y15239" s="1354"/>
      <c r="Z15239" s="1060"/>
    </row>
    <row r="15240" spans="25:26">
      <c r="Y15240" s="1354"/>
      <c r="Z15240" s="1060"/>
    </row>
    <row r="15241" spans="25:26">
      <c r="Y15241" s="1354"/>
      <c r="Z15241" s="1060"/>
    </row>
    <row r="15242" spans="25:26">
      <c r="Y15242" s="1354"/>
      <c r="Z15242" s="1060"/>
    </row>
    <row r="15243" spans="25:26">
      <c r="Y15243" s="1354"/>
      <c r="Z15243" s="1060"/>
    </row>
    <row r="15244" spans="25:26">
      <c r="Y15244" s="1354"/>
      <c r="Z15244" s="1060"/>
    </row>
    <row r="15245" spans="25:26">
      <c r="Y15245" s="1354"/>
      <c r="Z15245" s="1060"/>
    </row>
    <row r="15246" spans="25:26">
      <c r="Y15246" s="1354"/>
      <c r="Z15246" s="1060"/>
    </row>
    <row r="15247" spans="25:26">
      <c r="Y15247" s="1354"/>
      <c r="Z15247" s="1060"/>
    </row>
    <row r="15248" spans="25:26">
      <c r="Y15248" s="1354"/>
      <c r="Z15248" s="1060"/>
    </row>
    <row r="15249" spans="25:26">
      <c r="Y15249" s="1354"/>
      <c r="Z15249" s="1060"/>
    </row>
    <row r="15250" spans="25:26">
      <c r="Y15250" s="1354"/>
      <c r="Z15250" s="1060"/>
    </row>
    <row r="15251" spans="25:26">
      <c r="Y15251" s="1354"/>
      <c r="Z15251" s="1060"/>
    </row>
    <row r="15252" spans="25:26">
      <c r="Y15252" s="1354"/>
      <c r="Z15252" s="1060"/>
    </row>
    <row r="15253" spans="25:26">
      <c r="Y15253" s="1354"/>
      <c r="Z15253" s="1060"/>
    </row>
    <row r="15254" spans="25:26">
      <c r="Y15254" s="1354"/>
      <c r="Z15254" s="1060"/>
    </row>
    <row r="15255" spans="25:26">
      <c r="Y15255" s="1354"/>
      <c r="Z15255" s="1060"/>
    </row>
    <row r="15256" spans="25:26">
      <c r="Y15256" s="1354"/>
      <c r="Z15256" s="1060"/>
    </row>
    <row r="15257" spans="25:26">
      <c r="Y15257" s="1354"/>
      <c r="Z15257" s="1060"/>
    </row>
    <row r="15258" spans="25:26">
      <c r="Y15258" s="1354"/>
      <c r="Z15258" s="1060"/>
    </row>
    <row r="15259" spans="25:26">
      <c r="Y15259" s="1354"/>
      <c r="Z15259" s="1060"/>
    </row>
    <row r="15260" spans="25:26">
      <c r="Y15260" s="1354"/>
      <c r="Z15260" s="1060"/>
    </row>
    <row r="15261" spans="25:26">
      <c r="Y15261" s="1354"/>
      <c r="Z15261" s="1060"/>
    </row>
    <row r="15262" spans="25:26">
      <c r="Y15262" s="1354"/>
      <c r="Z15262" s="1060"/>
    </row>
    <row r="15263" spans="25:26">
      <c r="Y15263" s="1354"/>
      <c r="Z15263" s="1060"/>
    </row>
    <row r="15264" spans="25:26">
      <c r="Y15264" s="1354"/>
      <c r="Z15264" s="1060"/>
    </row>
    <row r="15265" spans="25:26">
      <c r="Y15265" s="1354"/>
      <c r="Z15265" s="1060"/>
    </row>
    <row r="15266" spans="25:26">
      <c r="Y15266" s="1354"/>
      <c r="Z15266" s="1060"/>
    </row>
    <row r="15267" spans="25:26">
      <c r="Y15267" s="1354"/>
      <c r="Z15267" s="1060"/>
    </row>
    <row r="15268" spans="25:26">
      <c r="Y15268" s="1354"/>
      <c r="Z15268" s="1060"/>
    </row>
    <row r="15269" spans="25:26">
      <c r="Y15269" s="1354"/>
      <c r="Z15269" s="1060"/>
    </row>
    <row r="15270" spans="25:26">
      <c r="Y15270" s="1354"/>
      <c r="Z15270" s="1060"/>
    </row>
    <row r="15271" spans="25:26">
      <c r="Y15271" s="1354"/>
      <c r="Z15271" s="1060"/>
    </row>
    <row r="15272" spans="25:26">
      <c r="Y15272" s="1354"/>
      <c r="Z15272" s="1060"/>
    </row>
    <row r="15273" spans="25:26">
      <c r="Y15273" s="1354"/>
      <c r="Z15273" s="1060"/>
    </row>
    <row r="15274" spans="25:26">
      <c r="Y15274" s="1354"/>
      <c r="Z15274" s="1060"/>
    </row>
    <row r="15275" spans="25:26">
      <c r="Y15275" s="1354"/>
      <c r="Z15275" s="1060"/>
    </row>
    <row r="15276" spans="25:26">
      <c r="Y15276" s="1354"/>
      <c r="Z15276" s="1060"/>
    </row>
    <row r="15277" spans="25:26">
      <c r="Y15277" s="1354"/>
      <c r="Z15277" s="1060"/>
    </row>
    <row r="15278" spans="25:26">
      <c r="Y15278" s="1354"/>
      <c r="Z15278" s="1060"/>
    </row>
    <row r="15279" spans="25:26">
      <c r="Y15279" s="1354"/>
      <c r="Z15279" s="1060"/>
    </row>
    <row r="15280" spans="25:26">
      <c r="Y15280" s="1354"/>
      <c r="Z15280" s="1060"/>
    </row>
    <row r="15281" spans="25:26">
      <c r="Y15281" s="1354"/>
      <c r="Z15281" s="1060"/>
    </row>
    <row r="15282" spans="25:26">
      <c r="Y15282" s="1354"/>
      <c r="Z15282" s="1060"/>
    </row>
    <row r="15283" spans="25:26">
      <c r="Y15283" s="1354"/>
      <c r="Z15283" s="1060"/>
    </row>
    <row r="15284" spans="25:26">
      <c r="Y15284" s="1354"/>
      <c r="Z15284" s="1060"/>
    </row>
    <row r="15285" spans="25:26">
      <c r="Y15285" s="1354"/>
      <c r="Z15285" s="1060"/>
    </row>
    <row r="15286" spans="25:26">
      <c r="Y15286" s="1354"/>
      <c r="Z15286" s="1060"/>
    </row>
    <row r="15287" spans="25:26">
      <c r="Y15287" s="1354"/>
      <c r="Z15287" s="1060"/>
    </row>
    <row r="15288" spans="25:26">
      <c r="Y15288" s="1354"/>
      <c r="Z15288" s="1060"/>
    </row>
    <row r="15289" spans="25:26">
      <c r="Y15289" s="1354"/>
      <c r="Z15289" s="1060"/>
    </row>
    <row r="15290" spans="25:26">
      <c r="Y15290" s="1354"/>
      <c r="Z15290" s="1060"/>
    </row>
    <row r="15291" spans="25:26">
      <c r="Y15291" s="1354"/>
      <c r="Z15291" s="1060"/>
    </row>
    <row r="15292" spans="25:26">
      <c r="Y15292" s="1354"/>
      <c r="Z15292" s="1060"/>
    </row>
    <row r="15293" spans="25:26">
      <c r="Y15293" s="1354"/>
      <c r="Z15293" s="1060"/>
    </row>
    <row r="15294" spans="25:26">
      <c r="Y15294" s="1354"/>
      <c r="Z15294" s="1060"/>
    </row>
    <row r="15295" spans="25:26">
      <c r="Y15295" s="1354"/>
      <c r="Z15295" s="1060"/>
    </row>
    <row r="15296" spans="25:26">
      <c r="Y15296" s="1354"/>
      <c r="Z15296" s="1060"/>
    </row>
    <row r="15297" spans="25:26">
      <c r="Y15297" s="1354"/>
      <c r="Z15297" s="1060"/>
    </row>
    <row r="15298" spans="25:26">
      <c r="Y15298" s="1354"/>
      <c r="Z15298" s="1060"/>
    </row>
    <row r="15299" spans="25:26">
      <c r="Y15299" s="1354"/>
      <c r="Z15299" s="1060"/>
    </row>
    <row r="15300" spans="25:26">
      <c r="Y15300" s="1354"/>
      <c r="Z15300" s="1060"/>
    </row>
    <row r="15301" spans="25:26">
      <c r="Y15301" s="1354"/>
      <c r="Z15301" s="1060"/>
    </row>
    <row r="15302" spans="25:26">
      <c r="Y15302" s="1354"/>
      <c r="Z15302" s="1060"/>
    </row>
    <row r="15303" spans="25:26">
      <c r="Y15303" s="1354"/>
      <c r="Z15303" s="1060"/>
    </row>
    <row r="15304" spans="25:26">
      <c r="Y15304" s="1354"/>
      <c r="Z15304" s="1060"/>
    </row>
    <row r="15305" spans="25:26">
      <c r="Y15305" s="1354"/>
      <c r="Z15305" s="1060"/>
    </row>
    <row r="15306" spans="25:26">
      <c r="Y15306" s="1354"/>
      <c r="Z15306" s="1060"/>
    </row>
    <row r="15307" spans="25:26">
      <c r="Y15307" s="1354"/>
      <c r="Z15307" s="1060"/>
    </row>
    <row r="15308" spans="25:26">
      <c r="Y15308" s="1354"/>
      <c r="Z15308" s="1060"/>
    </row>
    <row r="15309" spans="25:26">
      <c r="Y15309" s="1354"/>
      <c r="Z15309" s="1060"/>
    </row>
    <row r="15310" spans="25:26">
      <c r="Y15310" s="1354"/>
      <c r="Z15310" s="1060"/>
    </row>
    <row r="15311" spans="25:26">
      <c r="Y15311" s="1354"/>
      <c r="Z15311" s="1060"/>
    </row>
    <row r="15312" spans="25:26">
      <c r="Y15312" s="1354"/>
      <c r="Z15312" s="1060"/>
    </row>
    <row r="15313" spans="25:26">
      <c r="Y15313" s="1354"/>
      <c r="Z15313" s="1060"/>
    </row>
    <row r="15314" spans="25:26">
      <c r="Y15314" s="1354"/>
      <c r="Z15314" s="1060"/>
    </row>
    <row r="15315" spans="25:26">
      <c r="Y15315" s="1354"/>
      <c r="Z15315" s="1060"/>
    </row>
    <row r="15316" spans="25:26">
      <c r="Y15316" s="1354"/>
      <c r="Z15316" s="1060"/>
    </row>
    <row r="15317" spans="25:26">
      <c r="Y15317" s="1354"/>
      <c r="Z15317" s="1060"/>
    </row>
    <row r="15318" spans="25:26">
      <c r="Y15318" s="1354"/>
      <c r="Z15318" s="1060"/>
    </row>
    <row r="15319" spans="25:26">
      <c r="Y15319" s="1354"/>
      <c r="Z15319" s="1060"/>
    </row>
    <row r="15320" spans="25:26">
      <c r="Y15320" s="1354"/>
      <c r="Z15320" s="1060"/>
    </row>
    <row r="15321" spans="25:26">
      <c r="Y15321" s="1354"/>
      <c r="Z15321" s="1060"/>
    </row>
    <row r="15322" spans="25:26">
      <c r="Y15322" s="1354"/>
      <c r="Z15322" s="1060"/>
    </row>
    <row r="15323" spans="25:26">
      <c r="Y15323" s="1354"/>
      <c r="Z15323" s="1060"/>
    </row>
    <row r="15324" spans="25:26">
      <c r="Y15324" s="1354"/>
      <c r="Z15324" s="1060"/>
    </row>
    <row r="15325" spans="25:26">
      <c r="Y15325" s="1354"/>
      <c r="Z15325" s="1060"/>
    </row>
    <row r="15326" spans="25:26">
      <c r="Y15326" s="1354"/>
      <c r="Z15326" s="1060"/>
    </row>
    <row r="15327" spans="25:26">
      <c r="Y15327" s="1354"/>
      <c r="Z15327" s="1060"/>
    </row>
    <row r="15328" spans="25:26">
      <c r="Y15328" s="1354"/>
      <c r="Z15328" s="1060"/>
    </row>
    <row r="15329" spans="25:26">
      <c r="Y15329" s="1354"/>
      <c r="Z15329" s="1060"/>
    </row>
    <row r="15330" spans="25:26">
      <c r="Y15330" s="1354"/>
      <c r="Z15330" s="1060"/>
    </row>
    <row r="15331" spans="25:26">
      <c r="Y15331" s="1354"/>
      <c r="Z15331" s="1060"/>
    </row>
    <row r="15332" spans="25:26">
      <c r="Y15332" s="1354"/>
      <c r="Z15332" s="1060"/>
    </row>
    <row r="15333" spans="25:26">
      <c r="Y15333" s="1354"/>
      <c r="Z15333" s="1060"/>
    </row>
    <row r="15334" spans="25:26">
      <c r="Y15334" s="1354"/>
      <c r="Z15334" s="1060"/>
    </row>
    <row r="15335" spans="25:26">
      <c r="Y15335" s="1354"/>
      <c r="Z15335" s="1060"/>
    </row>
    <row r="15336" spans="25:26">
      <c r="Y15336" s="1354"/>
      <c r="Z15336" s="1060"/>
    </row>
    <row r="15337" spans="25:26">
      <c r="Y15337" s="1354"/>
      <c r="Z15337" s="1060"/>
    </row>
    <row r="15338" spans="25:26">
      <c r="Y15338" s="1354"/>
      <c r="Z15338" s="1060"/>
    </row>
    <row r="15339" spans="25:26">
      <c r="Y15339" s="1354"/>
      <c r="Z15339" s="1060"/>
    </row>
    <row r="15340" spans="25:26">
      <c r="Y15340" s="1354"/>
      <c r="Z15340" s="1060"/>
    </row>
    <row r="15341" spans="25:26">
      <c r="Y15341" s="1354"/>
      <c r="Z15341" s="1060"/>
    </row>
    <row r="15342" spans="25:26">
      <c r="Y15342" s="1354"/>
      <c r="Z15342" s="1060"/>
    </row>
    <row r="15343" spans="25:26">
      <c r="Y15343" s="1354"/>
      <c r="Z15343" s="1060"/>
    </row>
    <row r="15344" spans="25:26">
      <c r="Y15344" s="1354"/>
      <c r="Z15344" s="1060"/>
    </row>
    <row r="15345" spans="25:26">
      <c r="Y15345" s="1354"/>
      <c r="Z15345" s="1060"/>
    </row>
    <row r="15346" spans="25:26">
      <c r="Y15346" s="1354"/>
      <c r="Z15346" s="1060"/>
    </row>
    <row r="15347" spans="25:26">
      <c r="Y15347" s="1354"/>
      <c r="Z15347" s="1060"/>
    </row>
    <row r="15348" spans="25:26">
      <c r="Y15348" s="1354"/>
      <c r="Z15348" s="1060"/>
    </row>
    <row r="15349" spans="25:26">
      <c r="Y15349" s="1354"/>
      <c r="Z15349" s="1060"/>
    </row>
    <row r="15350" spans="25:26">
      <c r="Y15350" s="1354"/>
      <c r="Z15350" s="1060"/>
    </row>
    <row r="15351" spans="25:26">
      <c r="Y15351" s="1354"/>
      <c r="Z15351" s="1060"/>
    </row>
    <row r="15352" spans="25:26">
      <c r="Y15352" s="1354"/>
      <c r="Z15352" s="1060"/>
    </row>
    <row r="15353" spans="25:26">
      <c r="Y15353" s="1354"/>
      <c r="Z15353" s="1060"/>
    </row>
    <row r="15354" spans="25:26">
      <c r="Y15354" s="1354"/>
      <c r="Z15354" s="1060"/>
    </row>
    <row r="15355" spans="25:26">
      <c r="Y15355" s="1354"/>
      <c r="Z15355" s="1060"/>
    </row>
    <row r="15356" spans="25:26">
      <c r="Y15356" s="1354"/>
      <c r="Z15356" s="1060"/>
    </row>
    <row r="15357" spans="25:26">
      <c r="Y15357" s="1354"/>
      <c r="Z15357" s="1060"/>
    </row>
    <row r="15358" spans="25:26">
      <c r="Y15358" s="1354"/>
      <c r="Z15358" s="1060"/>
    </row>
    <row r="15359" spans="25:26">
      <c r="Y15359" s="1354"/>
      <c r="Z15359" s="1060"/>
    </row>
    <row r="15360" spans="25:26">
      <c r="Y15360" s="1354"/>
      <c r="Z15360" s="1060"/>
    </row>
    <row r="15361" spans="25:26">
      <c r="Y15361" s="1354"/>
      <c r="Z15361" s="1060"/>
    </row>
    <row r="15362" spans="25:26">
      <c r="Y15362" s="1354"/>
      <c r="Z15362" s="1060"/>
    </row>
    <row r="15363" spans="25:26">
      <c r="Y15363" s="1354"/>
      <c r="Z15363" s="1060"/>
    </row>
    <row r="15364" spans="25:26">
      <c r="Y15364" s="1354"/>
      <c r="Z15364" s="1060"/>
    </row>
    <row r="15365" spans="25:26">
      <c r="Y15365" s="1354"/>
      <c r="Z15365" s="1060"/>
    </row>
    <row r="15366" spans="25:26">
      <c r="Y15366" s="1354"/>
      <c r="Z15366" s="1060"/>
    </row>
    <row r="15367" spans="25:26">
      <c r="Y15367" s="1354"/>
      <c r="Z15367" s="1060"/>
    </row>
    <row r="15368" spans="25:26">
      <c r="Y15368" s="1354"/>
      <c r="Z15368" s="1060"/>
    </row>
    <row r="15369" spans="25:26">
      <c r="Y15369" s="1354"/>
      <c r="Z15369" s="1060"/>
    </row>
    <row r="15370" spans="25:26">
      <c r="Y15370" s="1354"/>
      <c r="Z15370" s="1060"/>
    </row>
    <row r="15371" spans="25:26">
      <c r="Y15371" s="1354"/>
      <c r="Z15371" s="1060"/>
    </row>
    <row r="15372" spans="25:26">
      <c r="Y15372" s="1354"/>
      <c r="Z15372" s="1060"/>
    </row>
    <row r="15373" spans="25:26">
      <c r="Y15373" s="1354"/>
      <c r="Z15373" s="1060"/>
    </row>
    <row r="15374" spans="25:26">
      <c r="Y15374" s="1354"/>
      <c r="Z15374" s="1060"/>
    </row>
    <row r="15375" spans="25:26">
      <c r="Y15375" s="1354"/>
      <c r="Z15375" s="1060"/>
    </row>
    <row r="15376" spans="25:26">
      <c r="Y15376" s="1354"/>
      <c r="Z15376" s="1060"/>
    </row>
    <row r="15377" spans="25:26">
      <c r="Y15377" s="1354"/>
      <c r="Z15377" s="1060"/>
    </row>
    <row r="15378" spans="25:26">
      <c r="Y15378" s="1354"/>
      <c r="Z15378" s="1060"/>
    </row>
    <row r="15379" spans="25:26">
      <c r="Y15379" s="1354"/>
      <c r="Z15379" s="1060"/>
    </row>
    <row r="15380" spans="25:26">
      <c r="Y15380" s="1354"/>
      <c r="Z15380" s="1060"/>
    </row>
    <row r="15381" spans="25:26">
      <c r="Y15381" s="1354"/>
      <c r="Z15381" s="1060"/>
    </row>
    <row r="15382" spans="25:26">
      <c r="Y15382" s="1354"/>
      <c r="Z15382" s="1060"/>
    </row>
    <row r="15383" spans="25:26">
      <c r="Y15383" s="1354"/>
      <c r="Z15383" s="1060"/>
    </row>
    <row r="15384" spans="25:26">
      <c r="Y15384" s="1354"/>
      <c r="Z15384" s="1060"/>
    </row>
    <row r="15385" spans="25:26">
      <c r="Y15385" s="1354"/>
      <c r="Z15385" s="1060"/>
    </row>
    <row r="15386" spans="25:26">
      <c r="Y15386" s="1354"/>
      <c r="Z15386" s="1060"/>
    </row>
    <row r="15387" spans="25:26">
      <c r="Y15387" s="1354"/>
      <c r="Z15387" s="1060"/>
    </row>
    <row r="15388" spans="25:26">
      <c r="Y15388" s="1354"/>
      <c r="Z15388" s="1060"/>
    </row>
    <row r="15389" spans="25:26">
      <c r="Y15389" s="1354"/>
      <c r="Z15389" s="1060"/>
    </row>
    <row r="15390" spans="25:26">
      <c r="Y15390" s="1354"/>
      <c r="Z15390" s="1060"/>
    </row>
    <row r="15391" spans="25:26">
      <c r="Y15391" s="1354"/>
      <c r="Z15391" s="1060"/>
    </row>
    <row r="15392" spans="25:26">
      <c r="Y15392" s="1354"/>
      <c r="Z15392" s="1060"/>
    </row>
    <row r="15393" spans="25:26">
      <c r="Y15393" s="1354"/>
      <c r="Z15393" s="1060"/>
    </row>
    <row r="15394" spans="25:26">
      <c r="Y15394" s="1354"/>
      <c r="Z15394" s="1060"/>
    </row>
    <row r="15395" spans="25:26">
      <c r="Y15395" s="1354"/>
      <c r="Z15395" s="1060"/>
    </row>
    <row r="15396" spans="25:26">
      <c r="Y15396" s="1354"/>
      <c r="Z15396" s="1060"/>
    </row>
    <row r="15397" spans="25:26">
      <c r="Y15397" s="1354"/>
      <c r="Z15397" s="1060"/>
    </row>
    <row r="15398" spans="25:26">
      <c r="Y15398" s="1354"/>
      <c r="Z15398" s="1060"/>
    </row>
    <row r="15399" spans="25:26">
      <c r="Y15399" s="1354"/>
      <c r="Z15399" s="1060"/>
    </row>
    <row r="15400" spans="25:26">
      <c r="Y15400" s="1354"/>
      <c r="Z15400" s="1060"/>
    </row>
    <row r="15401" spans="25:26">
      <c r="Y15401" s="1354"/>
      <c r="Z15401" s="1060"/>
    </row>
    <row r="15402" spans="25:26">
      <c r="Y15402" s="1354"/>
      <c r="Z15402" s="1060"/>
    </row>
    <row r="15403" spans="25:26">
      <c r="Y15403" s="1354"/>
      <c r="Z15403" s="1060"/>
    </row>
    <row r="15404" spans="25:26">
      <c r="Y15404" s="1354"/>
      <c r="Z15404" s="1060"/>
    </row>
    <row r="15405" spans="25:26">
      <c r="Y15405" s="1354"/>
      <c r="Z15405" s="1060"/>
    </row>
    <row r="15406" spans="25:26">
      <c r="Y15406" s="1354"/>
      <c r="Z15406" s="1060"/>
    </row>
    <row r="15407" spans="25:26">
      <c r="Y15407" s="1354"/>
      <c r="Z15407" s="1060"/>
    </row>
    <row r="15408" spans="25:26">
      <c r="Y15408" s="1354"/>
      <c r="Z15408" s="1060"/>
    </row>
    <row r="15409" spans="25:26">
      <c r="Y15409" s="1354"/>
      <c r="Z15409" s="1060"/>
    </row>
    <row r="15410" spans="25:26">
      <c r="Y15410" s="1354"/>
      <c r="Z15410" s="1060"/>
    </row>
    <row r="15411" spans="25:26">
      <c r="Y15411" s="1354"/>
      <c r="Z15411" s="1060"/>
    </row>
    <row r="15412" spans="25:26">
      <c r="Y15412" s="1354"/>
      <c r="Z15412" s="1060"/>
    </row>
    <row r="15413" spans="25:26">
      <c r="Y15413" s="1354"/>
      <c r="Z15413" s="1060"/>
    </row>
    <row r="15414" spans="25:26">
      <c r="Y15414" s="1354"/>
      <c r="Z15414" s="1060"/>
    </row>
    <row r="15415" spans="25:26">
      <c r="Y15415" s="1354"/>
      <c r="Z15415" s="1060"/>
    </row>
    <row r="15416" spans="25:26">
      <c r="Y15416" s="1354"/>
      <c r="Z15416" s="1060"/>
    </row>
    <row r="15417" spans="25:26">
      <c r="Y15417" s="1354"/>
      <c r="Z15417" s="1060"/>
    </row>
    <row r="15418" spans="25:26">
      <c r="Y15418" s="1354"/>
      <c r="Z15418" s="1060"/>
    </row>
    <row r="15419" spans="25:26">
      <c r="Y15419" s="1354"/>
      <c r="Z15419" s="1060"/>
    </row>
    <row r="15420" spans="25:26">
      <c r="Y15420" s="1354"/>
      <c r="Z15420" s="1060"/>
    </row>
    <row r="15421" spans="25:26">
      <c r="Y15421" s="1354"/>
      <c r="Z15421" s="1060"/>
    </row>
    <row r="15422" spans="25:26">
      <c r="Y15422" s="1354"/>
      <c r="Z15422" s="1060"/>
    </row>
    <row r="15423" spans="25:26">
      <c r="Y15423" s="1354"/>
      <c r="Z15423" s="1060"/>
    </row>
    <row r="15424" spans="25:26">
      <c r="Y15424" s="1354"/>
      <c r="Z15424" s="1060"/>
    </row>
    <row r="15425" spans="25:26">
      <c r="Y15425" s="1354"/>
      <c r="Z15425" s="1060"/>
    </row>
    <row r="15426" spans="25:26">
      <c r="Y15426" s="1354"/>
      <c r="Z15426" s="1060"/>
    </row>
    <row r="15427" spans="25:26">
      <c r="Y15427" s="1354"/>
      <c r="Z15427" s="1060"/>
    </row>
    <row r="15428" spans="25:26">
      <c r="Y15428" s="1354"/>
      <c r="Z15428" s="1060"/>
    </row>
    <row r="15429" spans="25:26">
      <c r="Y15429" s="1354"/>
      <c r="Z15429" s="1060"/>
    </row>
    <row r="15430" spans="25:26">
      <c r="Y15430" s="1354"/>
      <c r="Z15430" s="1060"/>
    </row>
    <row r="15431" spans="25:26">
      <c r="Y15431" s="1354"/>
      <c r="Z15431" s="1060"/>
    </row>
    <row r="15432" spans="25:26">
      <c r="Y15432" s="1354"/>
      <c r="Z15432" s="1060"/>
    </row>
    <row r="15433" spans="25:26">
      <c r="Y15433" s="1354"/>
      <c r="Z15433" s="1060"/>
    </row>
    <row r="15434" spans="25:26">
      <c r="Y15434" s="1354"/>
      <c r="Z15434" s="1060"/>
    </row>
    <row r="15435" spans="25:26">
      <c r="Y15435" s="1354"/>
      <c r="Z15435" s="1060"/>
    </row>
    <row r="15436" spans="25:26">
      <c r="Y15436" s="1354"/>
      <c r="Z15436" s="1060"/>
    </row>
    <row r="15437" spans="25:26">
      <c r="Y15437" s="1354"/>
      <c r="Z15437" s="1060"/>
    </row>
    <row r="15438" spans="25:26">
      <c r="Y15438" s="1354"/>
      <c r="Z15438" s="1060"/>
    </row>
    <row r="15439" spans="25:26">
      <c r="Y15439" s="1354"/>
      <c r="Z15439" s="1060"/>
    </row>
    <row r="15440" spans="25:26">
      <c r="Y15440" s="1354"/>
      <c r="Z15440" s="1060"/>
    </row>
    <row r="15441" spans="25:26">
      <c r="Y15441" s="1354"/>
      <c r="Z15441" s="1060"/>
    </row>
    <row r="15442" spans="25:26">
      <c r="Y15442" s="1354"/>
      <c r="Z15442" s="1060"/>
    </row>
    <row r="15443" spans="25:26">
      <c r="Y15443" s="1354"/>
      <c r="Z15443" s="1060"/>
    </row>
    <row r="15444" spans="25:26">
      <c r="Y15444" s="1354"/>
      <c r="Z15444" s="1060"/>
    </row>
    <row r="15445" spans="25:26">
      <c r="Y15445" s="1354"/>
      <c r="Z15445" s="1060"/>
    </row>
    <row r="15446" spans="25:26">
      <c r="Y15446" s="1354"/>
      <c r="Z15446" s="1060"/>
    </row>
    <row r="15447" spans="25:26">
      <c r="Y15447" s="1354"/>
      <c r="Z15447" s="1060"/>
    </row>
    <row r="15448" spans="25:26">
      <c r="Y15448" s="1354"/>
      <c r="Z15448" s="1060"/>
    </row>
    <row r="15449" spans="25:26">
      <c r="Y15449" s="1354"/>
      <c r="Z15449" s="1060"/>
    </row>
    <row r="15450" spans="25:26">
      <c r="Y15450" s="1354"/>
      <c r="Z15450" s="1060"/>
    </row>
    <row r="15451" spans="25:26">
      <c r="Y15451" s="1354"/>
      <c r="Z15451" s="1060"/>
    </row>
    <row r="15452" spans="25:26">
      <c r="Y15452" s="1354"/>
      <c r="Z15452" s="1060"/>
    </row>
    <row r="15453" spans="25:26">
      <c r="Y15453" s="1354"/>
      <c r="Z15453" s="1060"/>
    </row>
    <row r="15454" spans="25:26">
      <c r="Y15454" s="1354"/>
      <c r="Z15454" s="1060"/>
    </row>
    <row r="15455" spans="25:26">
      <c r="Y15455" s="1354"/>
      <c r="Z15455" s="1060"/>
    </row>
    <row r="15456" spans="25:26">
      <c r="Y15456" s="1354"/>
      <c r="Z15456" s="1060"/>
    </row>
    <row r="15457" spans="25:26">
      <c r="Y15457" s="1354"/>
      <c r="Z15457" s="1060"/>
    </row>
    <row r="15458" spans="25:26">
      <c r="Y15458" s="1354"/>
      <c r="Z15458" s="1060"/>
    </row>
    <row r="15459" spans="25:26">
      <c r="Y15459" s="1354"/>
      <c r="Z15459" s="1060"/>
    </row>
    <row r="15460" spans="25:26">
      <c r="Y15460" s="1354"/>
      <c r="Z15460" s="1060"/>
    </row>
    <row r="15461" spans="25:26">
      <c r="Y15461" s="1354"/>
      <c r="Z15461" s="1060"/>
    </row>
    <row r="15462" spans="25:26">
      <c r="Y15462" s="1354"/>
      <c r="Z15462" s="1060"/>
    </row>
    <row r="15463" spans="25:26">
      <c r="Y15463" s="1354"/>
      <c r="Z15463" s="1060"/>
    </row>
    <row r="15464" spans="25:26">
      <c r="Y15464" s="1354"/>
      <c r="Z15464" s="1060"/>
    </row>
    <row r="15465" spans="25:26">
      <c r="Y15465" s="1354"/>
      <c r="Z15465" s="1060"/>
    </row>
    <row r="15466" spans="25:26">
      <c r="Y15466" s="1354"/>
      <c r="Z15466" s="1060"/>
    </row>
    <row r="15467" spans="25:26">
      <c r="Y15467" s="1354"/>
      <c r="Z15467" s="1060"/>
    </row>
    <row r="15468" spans="25:26">
      <c r="Y15468" s="1354"/>
      <c r="Z15468" s="1060"/>
    </row>
    <row r="15469" spans="25:26">
      <c r="Y15469" s="1354"/>
      <c r="Z15469" s="1060"/>
    </row>
    <row r="15470" spans="25:26">
      <c r="Y15470" s="1354"/>
      <c r="Z15470" s="1060"/>
    </row>
    <row r="15471" spans="25:26">
      <c r="Y15471" s="1354"/>
      <c r="Z15471" s="1060"/>
    </row>
    <row r="15472" spans="25:26">
      <c r="Y15472" s="1354"/>
      <c r="Z15472" s="1060"/>
    </row>
    <row r="15473" spans="25:26">
      <c r="Y15473" s="1354"/>
      <c r="Z15473" s="1060"/>
    </row>
    <row r="15474" spans="25:26">
      <c r="Y15474" s="1354"/>
      <c r="Z15474" s="1060"/>
    </row>
    <row r="15475" spans="25:26">
      <c r="Y15475" s="1354"/>
      <c r="Z15475" s="1060"/>
    </row>
    <row r="15476" spans="25:26">
      <c r="Y15476" s="1354"/>
      <c r="Z15476" s="1060"/>
    </row>
    <row r="15477" spans="25:26">
      <c r="Y15477" s="1354"/>
      <c r="Z15477" s="1060"/>
    </row>
    <row r="15478" spans="25:26">
      <c r="Y15478" s="1354"/>
      <c r="Z15478" s="1060"/>
    </row>
    <row r="15479" spans="25:26">
      <c r="Y15479" s="1354"/>
      <c r="Z15479" s="1060"/>
    </row>
    <row r="15480" spans="25:26">
      <c r="Y15480" s="1354"/>
      <c r="Z15480" s="1060"/>
    </row>
    <row r="15481" spans="25:26">
      <c r="Y15481" s="1354"/>
      <c r="Z15481" s="1060"/>
    </row>
    <row r="15482" spans="25:26">
      <c r="Y15482" s="1354"/>
      <c r="Z15482" s="1060"/>
    </row>
    <row r="15483" spans="25:26">
      <c r="Y15483" s="1354"/>
      <c r="Z15483" s="1060"/>
    </row>
    <row r="15484" spans="25:26">
      <c r="Y15484" s="1354"/>
      <c r="Z15484" s="1060"/>
    </row>
    <row r="15485" spans="25:26">
      <c r="Y15485" s="1354"/>
      <c r="Z15485" s="1060"/>
    </row>
    <row r="15486" spans="25:26">
      <c r="Y15486" s="1354"/>
      <c r="Z15486" s="1060"/>
    </row>
    <row r="15487" spans="25:26">
      <c r="Y15487" s="1354"/>
      <c r="Z15487" s="1060"/>
    </row>
    <row r="15488" spans="25:26">
      <c r="Y15488" s="1354"/>
      <c r="Z15488" s="1060"/>
    </row>
    <row r="15489" spans="25:26">
      <c r="Y15489" s="1354"/>
      <c r="Z15489" s="1060"/>
    </row>
    <row r="15490" spans="25:26">
      <c r="Y15490" s="1354"/>
      <c r="Z15490" s="1060"/>
    </row>
    <row r="15491" spans="25:26">
      <c r="Y15491" s="1354"/>
      <c r="Z15491" s="1060"/>
    </row>
    <row r="15492" spans="25:26">
      <c r="Y15492" s="1354"/>
      <c r="Z15492" s="1060"/>
    </row>
    <row r="15493" spans="25:26">
      <c r="Y15493" s="1354"/>
      <c r="Z15493" s="1060"/>
    </row>
    <row r="15494" spans="25:26">
      <c r="Y15494" s="1354"/>
      <c r="Z15494" s="1060"/>
    </row>
    <row r="15495" spans="25:26">
      <c r="Y15495" s="1354"/>
      <c r="Z15495" s="1060"/>
    </row>
    <row r="15496" spans="25:26">
      <c r="Y15496" s="1354"/>
      <c r="Z15496" s="1060"/>
    </row>
    <row r="15497" spans="25:26">
      <c r="Y15497" s="1354"/>
      <c r="Z15497" s="1060"/>
    </row>
    <row r="15498" spans="25:26">
      <c r="Y15498" s="1354"/>
      <c r="Z15498" s="1060"/>
    </row>
    <row r="15499" spans="25:26">
      <c r="Y15499" s="1354"/>
      <c r="Z15499" s="1060"/>
    </row>
    <row r="15500" spans="25:26">
      <c r="Y15500" s="1354"/>
      <c r="Z15500" s="1060"/>
    </row>
    <row r="15501" spans="25:26">
      <c r="Y15501" s="1354"/>
      <c r="Z15501" s="1060"/>
    </row>
    <row r="15502" spans="25:26">
      <c r="Y15502" s="1354"/>
      <c r="Z15502" s="1060"/>
    </row>
    <row r="15503" spans="25:26">
      <c r="Y15503" s="1354"/>
      <c r="Z15503" s="1060"/>
    </row>
    <row r="15504" spans="25:26">
      <c r="Y15504" s="1354"/>
      <c r="Z15504" s="1060"/>
    </row>
    <row r="15505" spans="25:26">
      <c r="Y15505" s="1354"/>
      <c r="Z15505" s="1060"/>
    </row>
    <row r="15506" spans="25:26">
      <c r="Y15506" s="1354"/>
      <c r="Z15506" s="1060"/>
    </row>
    <row r="15507" spans="25:26">
      <c r="Y15507" s="1354"/>
      <c r="Z15507" s="1060"/>
    </row>
    <row r="15508" spans="25:26">
      <c r="Y15508" s="1354"/>
      <c r="Z15508" s="1060"/>
    </row>
    <row r="15509" spans="25:26">
      <c r="Y15509" s="1354"/>
      <c r="Z15509" s="1060"/>
    </row>
    <row r="15510" spans="25:26">
      <c r="Y15510" s="1354"/>
      <c r="Z15510" s="1060"/>
    </row>
    <row r="15511" spans="25:26">
      <c r="Y15511" s="1354"/>
      <c r="Z15511" s="1060"/>
    </row>
    <row r="15512" spans="25:26">
      <c r="Y15512" s="1354"/>
      <c r="Z15512" s="1060"/>
    </row>
    <row r="15513" spans="25:26">
      <c r="Y15513" s="1354"/>
      <c r="Z15513" s="1060"/>
    </row>
    <row r="15514" spans="25:26">
      <c r="Y15514" s="1354"/>
      <c r="Z15514" s="1060"/>
    </row>
    <row r="15515" spans="25:26">
      <c r="Y15515" s="1354"/>
      <c r="Z15515" s="1060"/>
    </row>
    <row r="15516" spans="25:26">
      <c r="Y15516" s="1354"/>
      <c r="Z15516" s="1060"/>
    </row>
    <row r="15517" spans="25:26">
      <c r="Y15517" s="1354"/>
      <c r="Z15517" s="1060"/>
    </row>
    <row r="15518" spans="25:26">
      <c r="Y15518" s="1354"/>
      <c r="Z15518" s="1060"/>
    </row>
    <row r="15519" spans="25:26">
      <c r="Y15519" s="1354"/>
      <c r="Z15519" s="1060"/>
    </row>
    <row r="15520" spans="25:26">
      <c r="Y15520" s="1354"/>
      <c r="Z15520" s="1060"/>
    </row>
    <row r="15521" spans="25:26">
      <c r="Y15521" s="1354"/>
      <c r="Z15521" s="1060"/>
    </row>
    <row r="15522" spans="25:26">
      <c r="Y15522" s="1354"/>
      <c r="Z15522" s="1060"/>
    </row>
    <row r="15523" spans="25:26">
      <c r="Y15523" s="1354"/>
      <c r="Z15523" s="1060"/>
    </row>
    <row r="15524" spans="25:26">
      <c r="Y15524" s="1354"/>
      <c r="Z15524" s="1060"/>
    </row>
    <row r="15525" spans="25:26">
      <c r="Y15525" s="1354"/>
      <c r="Z15525" s="1060"/>
    </row>
    <row r="15526" spans="25:26">
      <c r="Y15526" s="1354"/>
      <c r="Z15526" s="1060"/>
    </row>
    <row r="15527" spans="25:26">
      <c r="Y15527" s="1354"/>
      <c r="Z15527" s="1060"/>
    </row>
    <row r="15528" spans="25:26">
      <c r="Y15528" s="1354"/>
      <c r="Z15528" s="1060"/>
    </row>
    <row r="15529" spans="25:26">
      <c r="Y15529" s="1354"/>
      <c r="Z15529" s="1060"/>
    </row>
    <row r="15530" spans="25:26">
      <c r="Y15530" s="1354"/>
      <c r="Z15530" s="1060"/>
    </row>
    <row r="15531" spans="25:26">
      <c r="Y15531" s="1354"/>
      <c r="Z15531" s="1060"/>
    </row>
    <row r="15532" spans="25:26">
      <c r="Y15532" s="1354"/>
      <c r="Z15532" s="1060"/>
    </row>
    <row r="15533" spans="25:26">
      <c r="Y15533" s="1354"/>
      <c r="Z15533" s="1060"/>
    </row>
    <row r="15534" spans="25:26">
      <c r="Y15534" s="1354"/>
      <c r="Z15534" s="1060"/>
    </row>
    <row r="15535" spans="25:26">
      <c r="Y15535" s="1354"/>
      <c r="Z15535" s="1060"/>
    </row>
    <row r="15536" spans="25:26">
      <c r="Y15536" s="1354"/>
      <c r="Z15536" s="1060"/>
    </row>
    <row r="15537" spans="25:26">
      <c r="Y15537" s="1354"/>
      <c r="Z15537" s="1060"/>
    </row>
    <row r="15538" spans="25:26">
      <c r="Y15538" s="1354"/>
      <c r="Z15538" s="1060"/>
    </row>
    <row r="15539" spans="25:26">
      <c r="Y15539" s="1354"/>
      <c r="Z15539" s="1060"/>
    </row>
    <row r="15540" spans="25:26">
      <c r="Y15540" s="1354"/>
      <c r="Z15540" s="1060"/>
    </row>
    <row r="15541" spans="25:26">
      <c r="Y15541" s="1354"/>
      <c r="Z15541" s="1060"/>
    </row>
    <row r="15542" spans="25:26">
      <c r="Y15542" s="1354"/>
      <c r="Z15542" s="1060"/>
    </row>
    <row r="15543" spans="25:26">
      <c r="Y15543" s="1354"/>
      <c r="Z15543" s="1060"/>
    </row>
    <row r="15544" spans="25:26">
      <c r="Y15544" s="1354"/>
      <c r="Z15544" s="1060"/>
    </row>
    <row r="15545" spans="25:26">
      <c r="Y15545" s="1354"/>
      <c r="Z15545" s="1060"/>
    </row>
    <row r="15546" spans="25:26">
      <c r="Y15546" s="1354"/>
      <c r="Z15546" s="1060"/>
    </row>
    <row r="15547" spans="25:26">
      <c r="Y15547" s="1354"/>
      <c r="Z15547" s="1060"/>
    </row>
    <row r="15548" spans="25:26">
      <c r="Y15548" s="1354"/>
      <c r="Z15548" s="1060"/>
    </row>
    <row r="15549" spans="25:26">
      <c r="Y15549" s="1354"/>
      <c r="Z15549" s="1060"/>
    </row>
    <row r="15550" spans="25:26">
      <c r="Y15550" s="1354"/>
      <c r="Z15550" s="1060"/>
    </row>
    <row r="15551" spans="25:26">
      <c r="Y15551" s="1354"/>
      <c r="Z15551" s="1060"/>
    </row>
    <row r="15552" spans="25:26">
      <c r="Y15552" s="1354"/>
      <c r="Z15552" s="1060"/>
    </row>
    <row r="15553" spans="25:26">
      <c r="Y15553" s="1354"/>
      <c r="Z15553" s="1060"/>
    </row>
    <row r="15554" spans="25:26">
      <c r="Y15554" s="1354"/>
      <c r="Z15554" s="1060"/>
    </row>
    <row r="15555" spans="25:26">
      <c r="Y15555" s="1354"/>
      <c r="Z15555" s="1060"/>
    </row>
    <row r="15556" spans="25:26">
      <c r="Y15556" s="1354"/>
      <c r="Z15556" s="1060"/>
    </row>
    <row r="15557" spans="25:26">
      <c r="Y15557" s="1354"/>
      <c r="Z15557" s="1060"/>
    </row>
    <row r="15558" spans="25:26">
      <c r="Y15558" s="1354"/>
      <c r="Z15558" s="1060"/>
    </row>
    <row r="15559" spans="25:26">
      <c r="Y15559" s="1354"/>
      <c r="Z15559" s="1060"/>
    </row>
    <row r="15560" spans="25:26">
      <c r="Y15560" s="1354"/>
      <c r="Z15560" s="1060"/>
    </row>
    <row r="15561" spans="25:26">
      <c r="Y15561" s="1354"/>
      <c r="Z15561" s="1060"/>
    </row>
    <row r="15562" spans="25:26">
      <c r="Y15562" s="1354"/>
      <c r="Z15562" s="1060"/>
    </row>
    <row r="15563" spans="25:26">
      <c r="Y15563" s="1354"/>
      <c r="Z15563" s="1060"/>
    </row>
    <row r="15564" spans="25:26">
      <c r="Y15564" s="1354"/>
      <c r="Z15564" s="1060"/>
    </row>
    <row r="15565" spans="25:26">
      <c r="Y15565" s="1354"/>
      <c r="Z15565" s="1060"/>
    </row>
    <row r="15566" spans="25:26">
      <c r="Y15566" s="1354"/>
      <c r="Z15566" s="1060"/>
    </row>
    <row r="15567" spans="25:26">
      <c r="Y15567" s="1354"/>
      <c r="Z15567" s="1060"/>
    </row>
    <row r="15568" spans="25:26">
      <c r="Y15568" s="1354"/>
      <c r="Z15568" s="1060"/>
    </row>
    <row r="15569" spans="25:26">
      <c r="Y15569" s="1354"/>
      <c r="Z15569" s="1060"/>
    </row>
    <row r="15570" spans="25:26">
      <c r="Y15570" s="1354"/>
      <c r="Z15570" s="1060"/>
    </row>
    <row r="15571" spans="25:26">
      <c r="Y15571" s="1354"/>
      <c r="Z15571" s="1060"/>
    </row>
    <row r="15572" spans="25:26">
      <c r="Y15572" s="1354"/>
      <c r="Z15572" s="1060"/>
    </row>
    <row r="15573" spans="25:26">
      <c r="Y15573" s="1354"/>
      <c r="Z15573" s="1060"/>
    </row>
    <row r="15574" spans="25:26">
      <c r="Y15574" s="1354"/>
      <c r="Z15574" s="1060"/>
    </row>
    <row r="15575" spans="25:26">
      <c r="Y15575" s="1354"/>
      <c r="Z15575" s="1060"/>
    </row>
    <row r="15576" spans="25:26">
      <c r="Y15576" s="1354"/>
      <c r="Z15576" s="1060"/>
    </row>
    <row r="15577" spans="25:26">
      <c r="Y15577" s="1354"/>
      <c r="Z15577" s="1060"/>
    </row>
    <row r="15578" spans="25:26">
      <c r="Y15578" s="1354"/>
      <c r="Z15578" s="1060"/>
    </row>
    <row r="15579" spans="25:26">
      <c r="Y15579" s="1354"/>
      <c r="Z15579" s="1060"/>
    </row>
    <row r="15580" spans="25:26">
      <c r="Y15580" s="1354"/>
      <c r="Z15580" s="1060"/>
    </row>
    <row r="15581" spans="25:26">
      <c r="Y15581" s="1354"/>
      <c r="Z15581" s="1060"/>
    </row>
    <row r="15582" spans="25:26">
      <c r="Y15582" s="1354"/>
      <c r="Z15582" s="1060"/>
    </row>
    <row r="15583" spans="25:26">
      <c r="Y15583" s="1354"/>
      <c r="Z15583" s="1060"/>
    </row>
    <row r="15584" spans="25:26">
      <c r="Y15584" s="1354"/>
      <c r="Z15584" s="1060"/>
    </row>
    <row r="15585" spans="25:26">
      <c r="Y15585" s="1354"/>
      <c r="Z15585" s="1060"/>
    </row>
    <row r="15586" spans="25:26">
      <c r="Y15586" s="1354"/>
      <c r="Z15586" s="1060"/>
    </row>
    <row r="15587" spans="25:26">
      <c r="Y15587" s="1354"/>
      <c r="Z15587" s="1060"/>
    </row>
    <row r="15588" spans="25:26">
      <c r="Y15588" s="1354"/>
      <c r="Z15588" s="1060"/>
    </row>
    <row r="15589" spans="25:26">
      <c r="Y15589" s="1354"/>
      <c r="Z15589" s="1060"/>
    </row>
    <row r="15590" spans="25:26">
      <c r="Y15590" s="1354"/>
      <c r="Z15590" s="1060"/>
    </row>
    <row r="15591" spans="25:26">
      <c r="Y15591" s="1354"/>
      <c r="Z15591" s="1060"/>
    </row>
    <row r="15592" spans="25:26">
      <c r="Y15592" s="1354"/>
      <c r="Z15592" s="1060"/>
    </row>
    <row r="15593" spans="25:26">
      <c r="Y15593" s="1354"/>
      <c r="Z15593" s="1060"/>
    </row>
    <row r="15594" spans="25:26">
      <c r="Y15594" s="1354"/>
      <c r="Z15594" s="1060"/>
    </row>
    <row r="15595" spans="25:26">
      <c r="Y15595" s="1354"/>
      <c r="Z15595" s="1060"/>
    </row>
    <row r="15596" spans="25:26">
      <c r="Y15596" s="1354"/>
      <c r="Z15596" s="1060"/>
    </row>
    <row r="15597" spans="25:26">
      <c r="Y15597" s="1354"/>
      <c r="Z15597" s="1060"/>
    </row>
    <row r="15598" spans="25:26">
      <c r="Y15598" s="1354"/>
      <c r="Z15598" s="1060"/>
    </row>
    <row r="15599" spans="25:26">
      <c r="Y15599" s="1354"/>
      <c r="Z15599" s="1060"/>
    </row>
    <row r="15600" spans="25:26">
      <c r="Y15600" s="1354"/>
      <c r="Z15600" s="1060"/>
    </row>
    <row r="15601" spans="25:26">
      <c r="Y15601" s="1354"/>
      <c r="Z15601" s="1060"/>
    </row>
    <row r="15602" spans="25:26">
      <c r="Y15602" s="1354"/>
      <c r="Z15602" s="1060"/>
    </row>
    <row r="15603" spans="25:26">
      <c r="Y15603" s="1354"/>
      <c r="Z15603" s="1060"/>
    </row>
    <row r="15604" spans="25:26">
      <c r="Y15604" s="1354"/>
      <c r="Z15604" s="1060"/>
    </row>
    <row r="15605" spans="25:26">
      <c r="Y15605" s="1354"/>
      <c r="Z15605" s="1060"/>
    </row>
    <row r="15606" spans="25:26">
      <c r="Y15606" s="1354"/>
      <c r="Z15606" s="1060"/>
    </row>
    <row r="15607" spans="25:26">
      <c r="Y15607" s="1354"/>
      <c r="Z15607" s="1060"/>
    </row>
    <row r="15608" spans="25:26">
      <c r="Y15608" s="1354"/>
      <c r="Z15608" s="1060"/>
    </row>
    <row r="15609" spans="25:26">
      <c r="Y15609" s="1354"/>
      <c r="Z15609" s="1060"/>
    </row>
    <row r="15610" spans="25:26">
      <c r="Y15610" s="1354"/>
      <c r="Z15610" s="1060"/>
    </row>
    <row r="15611" spans="25:26">
      <c r="Y15611" s="1354"/>
      <c r="Z15611" s="1060"/>
    </row>
    <row r="15612" spans="25:26">
      <c r="Y15612" s="1354"/>
      <c r="Z15612" s="1060"/>
    </row>
    <row r="15613" spans="25:26">
      <c r="Y15613" s="1354"/>
      <c r="Z15613" s="1060"/>
    </row>
    <row r="15614" spans="25:26">
      <c r="Y15614" s="1354"/>
      <c r="Z15614" s="1060"/>
    </row>
    <row r="15615" spans="25:26">
      <c r="Y15615" s="1354"/>
      <c r="Z15615" s="1060"/>
    </row>
    <row r="15616" spans="25:26">
      <c r="Y15616" s="1354"/>
      <c r="Z15616" s="1060"/>
    </row>
    <row r="15617" spans="25:26">
      <c r="Y15617" s="1354"/>
      <c r="Z15617" s="1060"/>
    </row>
    <row r="15618" spans="25:26">
      <c r="Y15618" s="1354"/>
      <c r="Z15618" s="1060"/>
    </row>
    <row r="15619" spans="25:26">
      <c r="Y15619" s="1354"/>
      <c r="Z15619" s="1060"/>
    </row>
    <row r="15620" spans="25:26">
      <c r="Y15620" s="1354"/>
      <c r="Z15620" s="1060"/>
    </row>
    <row r="15621" spans="25:26">
      <c r="Y15621" s="1354"/>
      <c r="Z15621" s="1060"/>
    </row>
    <row r="15622" spans="25:26">
      <c r="Y15622" s="1354"/>
      <c r="Z15622" s="1060"/>
    </row>
    <row r="15623" spans="25:26">
      <c r="Y15623" s="1354"/>
      <c r="Z15623" s="1060"/>
    </row>
    <row r="15624" spans="25:26">
      <c r="Y15624" s="1354"/>
      <c r="Z15624" s="1060"/>
    </row>
    <row r="15625" spans="25:26">
      <c r="Y15625" s="1354"/>
      <c r="Z15625" s="1060"/>
    </row>
    <row r="15626" spans="25:26">
      <c r="Y15626" s="1354"/>
      <c r="Z15626" s="1060"/>
    </row>
    <row r="15627" spans="25:26">
      <c r="Y15627" s="1354"/>
      <c r="Z15627" s="1060"/>
    </row>
    <row r="15628" spans="25:26">
      <c r="Y15628" s="1354"/>
      <c r="Z15628" s="1060"/>
    </row>
    <row r="15629" spans="25:26">
      <c r="Y15629" s="1354"/>
      <c r="Z15629" s="1060"/>
    </row>
    <row r="15630" spans="25:26">
      <c r="Y15630" s="1354"/>
      <c r="Z15630" s="1060"/>
    </row>
    <row r="15631" spans="25:26">
      <c r="Y15631" s="1354"/>
      <c r="Z15631" s="1060"/>
    </row>
    <row r="15632" spans="25:26">
      <c r="Y15632" s="1354"/>
      <c r="Z15632" s="1060"/>
    </row>
    <row r="15633" spans="25:26">
      <c r="Y15633" s="1354"/>
      <c r="Z15633" s="1060"/>
    </row>
    <row r="15634" spans="25:26">
      <c r="Y15634" s="1354"/>
      <c r="Z15634" s="1060"/>
    </row>
    <row r="15635" spans="25:26">
      <c r="Y15635" s="1354"/>
      <c r="Z15635" s="1060"/>
    </row>
    <row r="15636" spans="25:26">
      <c r="Y15636" s="1354"/>
      <c r="Z15636" s="1060"/>
    </row>
    <row r="15637" spans="25:26">
      <c r="Y15637" s="1354"/>
      <c r="Z15637" s="1060"/>
    </row>
    <row r="15638" spans="25:26">
      <c r="Y15638" s="1354"/>
      <c r="Z15638" s="1060"/>
    </row>
    <row r="15639" spans="25:26">
      <c r="Y15639" s="1354"/>
      <c r="Z15639" s="1060"/>
    </row>
    <row r="15640" spans="25:26">
      <c r="Y15640" s="1354"/>
      <c r="Z15640" s="1060"/>
    </row>
    <row r="15641" spans="25:26">
      <c r="Y15641" s="1354"/>
      <c r="Z15641" s="1060"/>
    </row>
    <row r="15642" spans="25:26">
      <c r="Y15642" s="1354"/>
      <c r="Z15642" s="1060"/>
    </row>
    <row r="15643" spans="25:26">
      <c r="Y15643" s="1354"/>
      <c r="Z15643" s="1060"/>
    </row>
    <row r="15644" spans="25:26">
      <c r="Y15644" s="1354"/>
      <c r="Z15644" s="1060"/>
    </row>
    <row r="15645" spans="25:26">
      <c r="Y15645" s="1354"/>
      <c r="Z15645" s="1060"/>
    </row>
    <row r="15646" spans="25:26">
      <c r="Y15646" s="1354"/>
      <c r="Z15646" s="1060"/>
    </row>
    <row r="15647" spans="25:26">
      <c r="Y15647" s="1354"/>
      <c r="Z15647" s="1060"/>
    </row>
    <row r="15648" spans="25:26">
      <c r="Y15648" s="1354"/>
      <c r="Z15648" s="1060"/>
    </row>
    <row r="15649" spans="25:26">
      <c r="Y15649" s="1354"/>
      <c r="Z15649" s="1060"/>
    </row>
    <row r="15650" spans="25:26">
      <c r="Y15650" s="1354"/>
      <c r="Z15650" s="1060"/>
    </row>
    <row r="15651" spans="25:26">
      <c r="Y15651" s="1354"/>
      <c r="Z15651" s="1060"/>
    </row>
    <row r="15652" spans="25:26">
      <c r="Y15652" s="1354"/>
      <c r="Z15652" s="1060"/>
    </row>
    <row r="15653" spans="25:26">
      <c r="Y15653" s="1354"/>
      <c r="Z15653" s="1060"/>
    </row>
    <row r="15654" spans="25:26">
      <c r="Y15654" s="1354"/>
      <c r="Z15654" s="1060"/>
    </row>
    <row r="15655" spans="25:26">
      <c r="Y15655" s="1354"/>
      <c r="Z15655" s="1060"/>
    </row>
    <row r="15656" spans="25:26">
      <c r="Y15656" s="1354"/>
      <c r="Z15656" s="1060"/>
    </row>
    <row r="15657" spans="25:26">
      <c r="Y15657" s="1354"/>
      <c r="Z15657" s="1060"/>
    </row>
    <row r="15658" spans="25:26">
      <c r="Y15658" s="1354"/>
      <c r="Z15658" s="1060"/>
    </row>
    <row r="15659" spans="25:26">
      <c r="Y15659" s="1354"/>
      <c r="Z15659" s="1060"/>
    </row>
    <row r="15660" spans="25:26">
      <c r="Y15660" s="1354"/>
      <c r="Z15660" s="1060"/>
    </row>
    <row r="15661" spans="25:26">
      <c r="Y15661" s="1354"/>
      <c r="Z15661" s="1060"/>
    </row>
    <row r="15662" spans="25:26">
      <c r="Y15662" s="1354"/>
      <c r="Z15662" s="1060"/>
    </row>
    <row r="15663" spans="25:26">
      <c r="Y15663" s="1354"/>
      <c r="Z15663" s="1060"/>
    </row>
    <row r="15664" spans="25:26">
      <c r="Y15664" s="1354"/>
      <c r="Z15664" s="1060"/>
    </row>
    <row r="15665" spans="25:26">
      <c r="Y15665" s="1354"/>
      <c r="Z15665" s="1060"/>
    </row>
    <row r="15666" spans="25:26">
      <c r="Y15666" s="1354"/>
      <c r="Z15666" s="1060"/>
    </row>
    <row r="15667" spans="25:26">
      <c r="Y15667" s="1354"/>
      <c r="Z15667" s="1060"/>
    </row>
    <row r="15668" spans="25:26">
      <c r="Y15668" s="1354"/>
      <c r="Z15668" s="1060"/>
    </row>
    <row r="15669" spans="25:26">
      <c r="Y15669" s="1354"/>
      <c r="Z15669" s="1060"/>
    </row>
    <row r="15670" spans="25:26">
      <c r="Y15670" s="1354"/>
      <c r="Z15670" s="1060"/>
    </row>
    <row r="15671" spans="25:26">
      <c r="Y15671" s="1354"/>
      <c r="Z15671" s="1060"/>
    </row>
    <row r="15672" spans="25:26">
      <c r="Y15672" s="1354"/>
      <c r="Z15672" s="1060"/>
    </row>
    <row r="15673" spans="25:26">
      <c r="Y15673" s="1354"/>
      <c r="Z15673" s="1060"/>
    </row>
    <row r="15674" spans="25:26">
      <c r="Y15674" s="1354"/>
      <c r="Z15674" s="1060"/>
    </row>
    <row r="15675" spans="25:26">
      <c r="Y15675" s="1354"/>
      <c r="Z15675" s="1060"/>
    </row>
    <row r="15676" spans="25:26">
      <c r="Y15676" s="1354"/>
      <c r="Z15676" s="1060"/>
    </row>
    <row r="15677" spans="25:26">
      <c r="Y15677" s="1354"/>
      <c r="Z15677" s="1060"/>
    </row>
    <row r="15678" spans="25:26">
      <c r="Y15678" s="1354"/>
      <c r="Z15678" s="1060"/>
    </row>
    <row r="15679" spans="25:26">
      <c r="Y15679" s="1354"/>
      <c r="Z15679" s="1060"/>
    </row>
    <row r="15680" spans="25:26">
      <c r="Y15680" s="1354"/>
      <c r="Z15680" s="1060"/>
    </row>
    <row r="15681" spans="25:26">
      <c r="Y15681" s="1354"/>
      <c r="Z15681" s="1060"/>
    </row>
    <row r="15682" spans="25:26">
      <c r="Y15682" s="1354"/>
      <c r="Z15682" s="1060"/>
    </row>
    <row r="15683" spans="25:26">
      <c r="Y15683" s="1354"/>
      <c r="Z15683" s="1060"/>
    </row>
    <row r="15684" spans="25:26">
      <c r="Y15684" s="1354"/>
      <c r="Z15684" s="1060"/>
    </row>
    <row r="15685" spans="25:26">
      <c r="Y15685" s="1354"/>
      <c r="Z15685" s="1060"/>
    </row>
    <row r="15686" spans="25:26">
      <c r="Y15686" s="1354"/>
      <c r="Z15686" s="1060"/>
    </row>
    <row r="15687" spans="25:26">
      <c r="Y15687" s="1354"/>
      <c r="Z15687" s="1060"/>
    </row>
    <row r="15688" spans="25:26">
      <c r="Y15688" s="1354"/>
      <c r="Z15688" s="1060"/>
    </row>
    <row r="15689" spans="25:26">
      <c r="Y15689" s="1354"/>
      <c r="Z15689" s="1060"/>
    </row>
    <row r="15690" spans="25:26">
      <c r="Y15690" s="1354"/>
      <c r="Z15690" s="1060"/>
    </row>
    <row r="15691" spans="25:26">
      <c r="Y15691" s="1354"/>
      <c r="Z15691" s="1060"/>
    </row>
    <row r="15692" spans="25:26">
      <c r="Y15692" s="1354"/>
      <c r="Z15692" s="1060"/>
    </row>
    <row r="15693" spans="25:26">
      <c r="Y15693" s="1354"/>
      <c r="Z15693" s="1060"/>
    </row>
    <row r="15694" spans="25:26">
      <c r="Y15694" s="1354"/>
      <c r="Z15694" s="1060"/>
    </row>
    <row r="15695" spans="25:26">
      <c r="Y15695" s="1354"/>
      <c r="Z15695" s="1060"/>
    </row>
    <row r="15696" spans="25:26">
      <c r="Y15696" s="1354"/>
      <c r="Z15696" s="1060"/>
    </row>
    <row r="15697" spans="25:26">
      <c r="Y15697" s="1354"/>
      <c r="Z15697" s="1060"/>
    </row>
    <row r="15698" spans="25:26">
      <c r="Y15698" s="1354"/>
      <c r="Z15698" s="1060"/>
    </row>
    <row r="15699" spans="25:26">
      <c r="Y15699" s="1354"/>
      <c r="Z15699" s="1060"/>
    </row>
    <row r="15700" spans="25:26">
      <c r="Y15700" s="1354"/>
      <c r="Z15700" s="1060"/>
    </row>
    <row r="15701" spans="25:26">
      <c r="Y15701" s="1354"/>
      <c r="Z15701" s="1060"/>
    </row>
    <row r="15702" spans="25:26">
      <c r="Y15702" s="1354"/>
      <c r="Z15702" s="1060"/>
    </row>
    <row r="15703" spans="25:26">
      <c r="Y15703" s="1354"/>
      <c r="Z15703" s="1060"/>
    </row>
    <row r="15704" spans="25:26">
      <c r="Y15704" s="1354"/>
      <c r="Z15704" s="1060"/>
    </row>
    <row r="15705" spans="25:26">
      <c r="Y15705" s="1354"/>
      <c r="Z15705" s="1060"/>
    </row>
    <row r="15706" spans="25:26">
      <c r="Y15706" s="1354"/>
      <c r="Z15706" s="1060"/>
    </row>
    <row r="15707" spans="25:26">
      <c r="Y15707" s="1354"/>
      <c r="Z15707" s="1060"/>
    </row>
    <row r="15708" spans="25:26">
      <c r="Y15708" s="1354"/>
      <c r="Z15708" s="1060"/>
    </row>
    <row r="15709" spans="25:26">
      <c r="Y15709" s="1354"/>
      <c r="Z15709" s="1060"/>
    </row>
    <row r="15710" spans="25:26">
      <c r="Y15710" s="1354"/>
      <c r="Z15710" s="1060"/>
    </row>
    <row r="15711" spans="25:26">
      <c r="Y15711" s="1354"/>
      <c r="Z15711" s="1060"/>
    </row>
    <row r="15712" spans="25:26">
      <c r="Y15712" s="1354"/>
      <c r="Z15712" s="1060"/>
    </row>
    <row r="15713" spans="25:26">
      <c r="Y15713" s="1354"/>
      <c r="Z15713" s="1060"/>
    </row>
    <row r="15714" spans="25:26">
      <c r="Y15714" s="1354"/>
      <c r="Z15714" s="1060"/>
    </row>
    <row r="15715" spans="25:26">
      <c r="Y15715" s="1354"/>
      <c r="Z15715" s="1060"/>
    </row>
    <row r="15716" spans="25:26">
      <c r="Y15716" s="1354"/>
      <c r="Z15716" s="1060"/>
    </row>
    <row r="15717" spans="25:26">
      <c r="Y15717" s="1354"/>
      <c r="Z15717" s="1060"/>
    </row>
    <row r="15718" spans="25:26">
      <c r="Y15718" s="1354"/>
      <c r="Z15718" s="1060"/>
    </row>
    <row r="15719" spans="25:26">
      <c r="Y15719" s="1354"/>
      <c r="Z15719" s="1060"/>
    </row>
    <row r="15720" spans="25:26">
      <c r="Y15720" s="1354"/>
      <c r="Z15720" s="1060"/>
    </row>
    <row r="15721" spans="25:26">
      <c r="Y15721" s="1354"/>
      <c r="Z15721" s="1060"/>
    </row>
    <row r="15722" spans="25:26">
      <c r="Y15722" s="1354"/>
      <c r="Z15722" s="1060"/>
    </row>
    <row r="15723" spans="25:26">
      <c r="Y15723" s="1354"/>
      <c r="Z15723" s="1060"/>
    </row>
    <row r="15724" spans="25:26">
      <c r="Y15724" s="1354"/>
      <c r="Z15724" s="1060"/>
    </row>
    <row r="15725" spans="25:26">
      <c r="Y15725" s="1354"/>
      <c r="Z15725" s="1060"/>
    </row>
    <row r="15726" spans="25:26">
      <c r="Y15726" s="1354"/>
      <c r="Z15726" s="1060"/>
    </row>
    <row r="15727" spans="25:26">
      <c r="Y15727" s="1354"/>
      <c r="Z15727" s="1060"/>
    </row>
    <row r="15728" spans="25:26">
      <c r="Y15728" s="1354"/>
      <c r="Z15728" s="1060"/>
    </row>
    <row r="15729" spans="25:26">
      <c r="Y15729" s="1354"/>
      <c r="Z15729" s="1060"/>
    </row>
    <row r="15730" spans="25:26">
      <c r="Y15730" s="1354"/>
      <c r="Z15730" s="1060"/>
    </row>
    <row r="15731" spans="25:26">
      <c r="Y15731" s="1354"/>
      <c r="Z15731" s="1060"/>
    </row>
    <row r="15732" spans="25:26">
      <c r="Y15732" s="1354"/>
      <c r="Z15732" s="1060"/>
    </row>
    <row r="15733" spans="25:26">
      <c r="Y15733" s="1354"/>
      <c r="Z15733" s="1060"/>
    </row>
    <row r="15734" spans="25:26">
      <c r="Y15734" s="1354"/>
      <c r="Z15734" s="1060"/>
    </row>
    <row r="15735" spans="25:26">
      <c r="Y15735" s="1354"/>
      <c r="Z15735" s="1060"/>
    </row>
    <row r="15736" spans="25:26">
      <c r="Y15736" s="1354"/>
      <c r="Z15736" s="1060"/>
    </row>
    <row r="15737" spans="25:26">
      <c r="Y15737" s="1354"/>
      <c r="Z15737" s="1060"/>
    </row>
    <row r="15738" spans="25:26">
      <c r="Y15738" s="1354"/>
      <c r="Z15738" s="1060"/>
    </row>
    <row r="15739" spans="25:26">
      <c r="Y15739" s="1354"/>
      <c r="Z15739" s="1060"/>
    </row>
    <row r="15740" spans="25:26">
      <c r="Y15740" s="1354"/>
      <c r="Z15740" s="1060"/>
    </row>
    <row r="15741" spans="25:26">
      <c r="Y15741" s="1354"/>
      <c r="Z15741" s="1060"/>
    </row>
    <row r="15742" spans="25:26">
      <c r="Y15742" s="1354"/>
      <c r="Z15742" s="1060"/>
    </row>
    <row r="15743" spans="25:26">
      <c r="Y15743" s="1354"/>
      <c r="Z15743" s="1060"/>
    </row>
    <row r="15744" spans="25:26">
      <c r="Y15744" s="1354"/>
      <c r="Z15744" s="1060"/>
    </row>
    <row r="15745" spans="25:26">
      <c r="Y15745" s="1354"/>
      <c r="Z15745" s="1060"/>
    </row>
    <row r="15746" spans="25:26">
      <c r="Y15746" s="1354"/>
      <c r="Z15746" s="1060"/>
    </row>
    <row r="15747" spans="25:26">
      <c r="Y15747" s="1354"/>
      <c r="Z15747" s="1060"/>
    </row>
    <row r="15748" spans="25:26">
      <c r="Y15748" s="1354"/>
      <c r="Z15748" s="1060"/>
    </row>
    <row r="15749" spans="25:26">
      <c r="Y15749" s="1354"/>
      <c r="Z15749" s="1060"/>
    </row>
    <row r="15750" spans="25:26">
      <c r="Y15750" s="1354"/>
      <c r="Z15750" s="1060"/>
    </row>
    <row r="15751" spans="25:26">
      <c r="Y15751" s="1354"/>
      <c r="Z15751" s="1060"/>
    </row>
    <row r="15752" spans="25:26">
      <c r="Y15752" s="1354"/>
      <c r="Z15752" s="1060"/>
    </row>
    <row r="15753" spans="25:26">
      <c r="Y15753" s="1354"/>
      <c r="Z15753" s="1060"/>
    </row>
    <row r="15754" spans="25:26">
      <c r="Y15754" s="1354"/>
      <c r="Z15754" s="1060"/>
    </row>
    <row r="15755" spans="25:26">
      <c r="Y15755" s="1354"/>
      <c r="Z15755" s="1060"/>
    </row>
    <row r="15756" spans="25:26">
      <c r="Y15756" s="1354"/>
      <c r="Z15756" s="1060"/>
    </row>
    <row r="15757" spans="25:26">
      <c r="Y15757" s="1354"/>
      <c r="Z15757" s="1060"/>
    </row>
    <row r="15758" spans="25:26">
      <c r="Y15758" s="1354"/>
      <c r="Z15758" s="1060"/>
    </row>
    <row r="15759" spans="25:26">
      <c r="Y15759" s="1354"/>
      <c r="Z15759" s="1060"/>
    </row>
    <row r="15760" spans="25:26">
      <c r="Y15760" s="1354"/>
      <c r="Z15760" s="1060"/>
    </row>
    <row r="15761" spans="25:26">
      <c r="Y15761" s="1354"/>
      <c r="Z15761" s="1060"/>
    </row>
    <row r="15762" spans="25:26">
      <c r="Y15762" s="1354"/>
      <c r="Z15762" s="1060"/>
    </row>
    <row r="15763" spans="25:26">
      <c r="Y15763" s="1354"/>
      <c r="Z15763" s="1060"/>
    </row>
    <row r="15764" spans="25:26">
      <c r="Y15764" s="1354"/>
      <c r="Z15764" s="1060"/>
    </row>
    <row r="15765" spans="25:26">
      <c r="Y15765" s="1354"/>
      <c r="Z15765" s="1060"/>
    </row>
    <row r="15766" spans="25:26">
      <c r="Y15766" s="1354"/>
      <c r="Z15766" s="1060"/>
    </row>
    <row r="15767" spans="25:26">
      <c r="Y15767" s="1354"/>
      <c r="Z15767" s="1060"/>
    </row>
    <row r="15768" spans="25:26">
      <c r="Y15768" s="1354"/>
      <c r="Z15768" s="1060"/>
    </row>
    <row r="15769" spans="25:26">
      <c r="Y15769" s="1354"/>
      <c r="Z15769" s="1060"/>
    </row>
    <row r="15770" spans="25:26">
      <c r="Y15770" s="1354"/>
      <c r="Z15770" s="1060"/>
    </row>
    <row r="15771" spans="25:26">
      <c r="Y15771" s="1354"/>
      <c r="Z15771" s="1060"/>
    </row>
    <row r="15772" spans="25:26">
      <c r="Y15772" s="1354"/>
      <c r="Z15772" s="1060"/>
    </row>
    <row r="15773" spans="25:26">
      <c r="Y15773" s="1354"/>
      <c r="Z15773" s="1060"/>
    </row>
    <row r="15774" spans="25:26">
      <c r="Y15774" s="1354"/>
      <c r="Z15774" s="1060"/>
    </row>
    <row r="15775" spans="25:26">
      <c r="Y15775" s="1354"/>
      <c r="Z15775" s="1060"/>
    </row>
    <row r="15776" spans="25:26">
      <c r="Y15776" s="1354"/>
      <c r="Z15776" s="1060"/>
    </row>
    <row r="15777" spans="25:26">
      <c r="Y15777" s="1354"/>
      <c r="Z15777" s="1060"/>
    </row>
    <row r="15778" spans="25:26">
      <c r="Y15778" s="1354"/>
      <c r="Z15778" s="1060"/>
    </row>
    <row r="15779" spans="25:26">
      <c r="Y15779" s="1354"/>
      <c r="Z15779" s="1060"/>
    </row>
    <row r="15780" spans="25:26">
      <c r="Y15780" s="1354"/>
      <c r="Z15780" s="1060"/>
    </row>
    <row r="15781" spans="25:26">
      <c r="Y15781" s="1354"/>
      <c r="Z15781" s="1060"/>
    </row>
    <row r="15782" spans="25:26">
      <c r="Y15782" s="1354"/>
      <c r="Z15782" s="1060"/>
    </row>
    <row r="15783" spans="25:26">
      <c r="Y15783" s="1354"/>
      <c r="Z15783" s="1060"/>
    </row>
    <row r="15784" spans="25:26">
      <c r="Y15784" s="1354"/>
      <c r="Z15784" s="1060"/>
    </row>
    <row r="15785" spans="25:26">
      <c r="Y15785" s="1354"/>
      <c r="Z15785" s="1060"/>
    </row>
    <row r="15786" spans="25:26">
      <c r="Y15786" s="1354"/>
      <c r="Z15786" s="1060"/>
    </row>
    <row r="15787" spans="25:26">
      <c r="Y15787" s="1354"/>
      <c r="Z15787" s="1060"/>
    </row>
    <row r="15788" spans="25:26">
      <c r="Y15788" s="1354"/>
      <c r="Z15788" s="1060"/>
    </row>
    <row r="15789" spans="25:26">
      <c r="Y15789" s="1354"/>
      <c r="Z15789" s="1060"/>
    </row>
    <row r="15790" spans="25:26">
      <c r="Y15790" s="1354"/>
      <c r="Z15790" s="1060"/>
    </row>
    <row r="15791" spans="25:26">
      <c r="Y15791" s="1354"/>
      <c r="Z15791" s="1060"/>
    </row>
    <row r="15792" spans="25:26">
      <c r="Y15792" s="1354"/>
      <c r="Z15792" s="1060"/>
    </row>
    <row r="15793" spans="25:26">
      <c r="Y15793" s="1354"/>
      <c r="Z15793" s="1060"/>
    </row>
    <row r="15794" spans="25:26">
      <c r="Y15794" s="1354"/>
      <c r="Z15794" s="1060"/>
    </row>
    <row r="15795" spans="25:26">
      <c r="Y15795" s="1354"/>
      <c r="Z15795" s="1060"/>
    </row>
    <row r="15796" spans="25:26">
      <c r="Y15796" s="1354"/>
      <c r="Z15796" s="1060"/>
    </row>
    <row r="15797" spans="25:26">
      <c r="Y15797" s="1354"/>
      <c r="Z15797" s="1060"/>
    </row>
    <row r="15798" spans="25:26">
      <c r="Y15798" s="1354"/>
      <c r="Z15798" s="1060"/>
    </row>
    <row r="15799" spans="25:26">
      <c r="Y15799" s="1354"/>
      <c r="Z15799" s="1060"/>
    </row>
    <row r="15800" spans="25:26">
      <c r="Y15800" s="1354"/>
      <c r="Z15800" s="1060"/>
    </row>
    <row r="15801" spans="25:26">
      <c r="Y15801" s="1354"/>
      <c r="Z15801" s="1060"/>
    </row>
    <row r="15802" spans="25:26">
      <c r="Y15802" s="1354"/>
      <c r="Z15802" s="1060"/>
    </row>
    <row r="15803" spans="25:26">
      <c r="Y15803" s="1354"/>
      <c r="Z15803" s="1060"/>
    </row>
  </sheetData>
  <mergeCells count="15">
    <mergeCell ref="V135:V137"/>
    <mergeCell ref="W135:W137"/>
    <mergeCell ref="U104:U106"/>
    <mergeCell ref="C7:N7"/>
    <mergeCell ref="O7:O8"/>
    <mergeCell ref="V7:V8"/>
    <mergeCell ref="W7:W8"/>
    <mergeCell ref="U7:U8"/>
    <mergeCell ref="T7:T8"/>
    <mergeCell ref="W104:W106"/>
    <mergeCell ref="V104:V106"/>
    <mergeCell ref="S7:S8"/>
    <mergeCell ref="R7:R8"/>
    <mergeCell ref="Q7:Q8"/>
    <mergeCell ref="P7:P8"/>
  </mergeCells>
  <dataValidations disablePrompts="1" count="1">
    <dataValidation type="list" allowBlank="1" showInputMessage="1" showErrorMessage="1" sqref="E5">
      <formula1>$C$8:$N$8</formula1>
    </dataValidation>
  </dataValidations>
  <pageMargins left="0.7" right="0.7" top="0.75" bottom="0.75" header="0.3" footer="0.3"/>
  <pageSetup paperSize="9" scale="42" fitToHeight="4" orientation="landscape" r:id="rId1"/>
  <customProperties>
    <customPr name="EpmWorksheetKeyString_GUID" r:id="rId2"/>
  </customProperties>
  <drawing r:id="rId3"/>
  <legacyDrawing r:id="rId4"/>
  <oleObjects>
    <mc:AlternateContent xmlns:mc="http://schemas.openxmlformats.org/markup-compatibility/2006">
      <mc:Choice Requires="x14">
        <oleObject shapeId="2049" r:id="rId5">
          <objectPr defaultSize="0" autoPict="0" r:id="rId6">
            <anchor moveWithCells="1" sizeWithCells="1">
              <from>
                <xdr:col>1</xdr:col>
                <xdr:colOff>342900</xdr:colOff>
                <xdr:row>0</xdr:row>
                <xdr:rowOff>104775</xdr:rowOff>
              </from>
              <to>
                <xdr:col>1</xdr:col>
                <xdr:colOff>1838325</xdr:colOff>
                <xdr:row>3</xdr:row>
                <xdr:rowOff>47625</xdr:rowOff>
              </to>
            </anchor>
          </objectPr>
        </oleObject>
      </mc:Choice>
      <mc:Fallback>
        <oleObject shapeId="2049" r:id="rId5"/>
      </mc:Fallback>
    </mc:AlternateContent>
    <mc:AlternateContent xmlns:mc="http://schemas.openxmlformats.org/markup-compatibility/2006">
      <mc:Choice Requires="x14">
        <oleObject shapeId="2050" r:id="rId7">
          <objectPr defaultSize="0" autoPict="0" r:id="rId6">
            <anchor moveWithCells="1" sizeWithCells="1">
              <from>
                <xdr:col>1</xdr:col>
                <xdr:colOff>142875</xdr:colOff>
                <xdr:row>94</xdr:row>
                <xdr:rowOff>66675</xdr:rowOff>
              </from>
              <to>
                <xdr:col>1</xdr:col>
                <xdr:colOff>1647825</xdr:colOff>
                <xdr:row>97</xdr:row>
                <xdr:rowOff>0</xdr:rowOff>
              </to>
            </anchor>
          </objectPr>
        </oleObject>
      </mc:Choice>
      <mc:Fallback>
        <oleObject shapeId="2050" r:id="rId7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00B050"/>
    <pageSetUpPr fitToPage="1"/>
  </sheetPr>
  <dimension ref="B1:F36"/>
  <sheetViews>
    <sheetView topLeftCell="A11" zoomScaleNormal="100" workbookViewId="0">
      <selection activeCell="D8" sqref="D8"/>
    </sheetView>
  </sheetViews>
  <sheetFormatPr defaultRowHeight="15"/>
  <cols>
    <col min="2" max="2" width="11" customWidth="1"/>
    <col min="3" max="3" width="10.42578125" customWidth="1"/>
    <col min="4" max="4" width="13.42578125" customWidth="1"/>
    <col min="5" max="5" width="13.7109375" customWidth="1"/>
  </cols>
  <sheetData>
    <row r="1" spans="2:6">
      <c r="B1" t="s">
        <v>439</v>
      </c>
      <c r="C1" s="110">
        <f>'BPA Product '!N43</f>
        <v>99.149596368903701</v>
      </c>
      <c r="E1">
        <v>96.592577648383724</v>
      </c>
    </row>
    <row r="2" spans="2:6">
      <c r="B2" s="100" t="s">
        <v>107</v>
      </c>
      <c r="C2" s="101" t="s">
        <v>108</v>
      </c>
      <c r="D2" s="102" t="s">
        <v>109</v>
      </c>
      <c r="E2" s="41">
        <f>E1/100</f>
        <v>0.96592577648383726</v>
      </c>
      <c r="F2" s="41"/>
    </row>
    <row r="3" spans="2:6">
      <c r="B3" s="103">
        <f>'Raw Material'!A5</f>
        <v>43800</v>
      </c>
      <c r="C3" s="104">
        <f>'BPA Product '!C6*$C$1%</f>
        <v>484.16730898863057</v>
      </c>
      <c r="D3" s="288">
        <f>C3/(150000/7704*24/100)</f>
        <v>103.61180412356694</v>
      </c>
      <c r="E3" s="105">
        <v>0.96592577648383726</v>
      </c>
      <c r="F3" s="106"/>
    </row>
    <row r="4" spans="2:6">
      <c r="B4" s="103">
        <f t="shared" ref="B4:B33" si="0">B3+1</f>
        <v>43801</v>
      </c>
      <c r="C4" s="104">
        <f>'BPA Product '!C7*$C$1%</f>
        <v>484.17722394826745</v>
      </c>
      <c r="D4" s="288">
        <f t="shared" ref="D4:D30" si="1">C4/(150000/7704*24/100)</f>
        <v>103.61392592492923</v>
      </c>
      <c r="E4" s="105"/>
      <c r="F4" s="106"/>
    </row>
    <row r="5" spans="2:6">
      <c r="B5" s="103">
        <f t="shared" si="0"/>
        <v>43802</v>
      </c>
      <c r="C5" s="104">
        <f>'BPA Product '!C8*$C$1%</f>
        <v>462.64193161694158</v>
      </c>
      <c r="D5" s="288">
        <f t="shared" si="1"/>
        <v>99.005373366025495</v>
      </c>
      <c r="E5" s="105"/>
      <c r="F5" s="106"/>
    </row>
    <row r="6" spans="2:6">
      <c r="B6" s="103">
        <f t="shared" si="0"/>
        <v>43803</v>
      </c>
      <c r="C6" s="104">
        <f>'BPA Product '!C9*$C$1%</f>
        <v>481.86703835287199</v>
      </c>
      <c r="D6" s="288">
        <f t="shared" si="1"/>
        <v>103.1195462075146</v>
      </c>
      <c r="E6" s="105"/>
      <c r="F6" s="106"/>
    </row>
    <row r="7" spans="2:6">
      <c r="B7" s="103">
        <f t="shared" si="0"/>
        <v>43804</v>
      </c>
      <c r="C7" s="104">
        <f>'BPA Product '!C10*$C$1%</f>
        <v>496.14458022999412</v>
      </c>
      <c r="D7" s="288">
        <f t="shared" si="1"/>
        <v>106.17494016921874</v>
      </c>
      <c r="E7" s="105"/>
      <c r="F7" s="106"/>
    </row>
    <row r="8" spans="2:6">
      <c r="B8" s="103">
        <f t="shared" si="0"/>
        <v>43805</v>
      </c>
      <c r="C8" s="104">
        <f>'BPA Product '!C11*$C$1%</f>
        <v>489.00580929143302</v>
      </c>
      <c r="D8" s="288">
        <f t="shared" si="1"/>
        <v>104.64724318836666</v>
      </c>
      <c r="E8" s="105"/>
      <c r="F8" s="106"/>
    </row>
    <row r="9" spans="2:6">
      <c r="B9" s="103">
        <f t="shared" si="0"/>
        <v>43806</v>
      </c>
      <c r="C9" s="104">
        <f>'BPA Product '!C12*$C$1%</f>
        <v>492.5751947607136</v>
      </c>
      <c r="D9" s="288">
        <f t="shared" si="1"/>
        <v>105.41109167879272</v>
      </c>
      <c r="E9" s="105"/>
      <c r="F9" s="106"/>
    </row>
    <row r="10" spans="2:6">
      <c r="B10" s="103">
        <f t="shared" si="0"/>
        <v>43807</v>
      </c>
      <c r="C10" s="104">
        <f>'BPA Product '!C13*$C$1%</f>
        <v>492.5751947607136</v>
      </c>
      <c r="D10" s="288">
        <f t="shared" si="1"/>
        <v>105.41109167879272</v>
      </c>
      <c r="E10" s="105"/>
      <c r="F10" s="106"/>
    </row>
    <row r="11" spans="2:6">
      <c r="B11" s="103">
        <f t="shared" si="0"/>
        <v>43808</v>
      </c>
      <c r="C11" s="104">
        <f>'BPA Product '!C14*$C$1%</f>
        <v>485.43642382215256</v>
      </c>
      <c r="D11" s="288">
        <f t="shared" si="1"/>
        <v>103.88339469794064</v>
      </c>
      <c r="E11" s="105"/>
      <c r="F11" s="106"/>
    </row>
    <row r="12" spans="2:6">
      <c r="B12" s="103">
        <f t="shared" si="0"/>
        <v>43809</v>
      </c>
      <c r="C12" s="104">
        <f>'BPA Product '!C15*$C$1%</f>
        <v>492.5751947607136</v>
      </c>
      <c r="D12" s="288">
        <f t="shared" si="1"/>
        <v>105.41109167879272</v>
      </c>
      <c r="E12" s="105"/>
      <c r="F12" s="106"/>
    </row>
    <row r="13" spans="2:6">
      <c r="B13" s="103">
        <f t="shared" si="0"/>
        <v>43810</v>
      </c>
      <c r="C13" s="104">
        <f>'BPA Product '!C16*$C$1%</f>
        <v>492.5751947607136</v>
      </c>
      <c r="D13" s="288">
        <f t="shared" si="1"/>
        <v>105.41109167879272</v>
      </c>
      <c r="E13" s="105"/>
      <c r="F13" s="106"/>
    </row>
    <row r="14" spans="2:6">
      <c r="B14" s="103">
        <f t="shared" si="0"/>
        <v>43811</v>
      </c>
      <c r="C14" s="104">
        <f>'BPA Product '!C17*$C$1%</f>
        <v>446.17318366006668</v>
      </c>
      <c r="D14" s="288">
        <f t="shared" si="1"/>
        <v>95.481061303254265</v>
      </c>
      <c r="E14" s="105"/>
      <c r="F14" s="106"/>
    </row>
    <row r="15" spans="2:6">
      <c r="B15" s="103">
        <f t="shared" si="0"/>
        <v>43812</v>
      </c>
      <c r="C15" s="104">
        <f>'BPA Product '!C18*$C$1%</f>
        <v>446.17318366006668</v>
      </c>
      <c r="D15" s="288">
        <f t="shared" si="1"/>
        <v>95.481061303254265</v>
      </c>
      <c r="E15" s="105"/>
      <c r="F15" s="106"/>
    </row>
    <row r="16" spans="2:6">
      <c r="B16" s="103">
        <f t="shared" si="0"/>
        <v>43813</v>
      </c>
      <c r="C16" s="104">
        <f>'BPA Product '!C19*$C$1%</f>
        <v>367.59712853771049</v>
      </c>
      <c r="D16" s="288">
        <f>C16/(150000/7704*24/100)</f>
        <v>78.665785507070041</v>
      </c>
      <c r="E16" s="105"/>
      <c r="F16" s="106"/>
    </row>
    <row r="17" spans="2:6">
      <c r="B17" s="103">
        <f t="shared" si="0"/>
        <v>43814</v>
      </c>
      <c r="C17" s="104">
        <f>'BPA Product '!C20*$C$1%</f>
        <v>0</v>
      </c>
      <c r="D17" s="288">
        <f t="shared" si="1"/>
        <v>0</v>
      </c>
      <c r="E17" s="105"/>
      <c r="F17" s="1179"/>
    </row>
    <row r="18" spans="2:6">
      <c r="B18" s="103">
        <f t="shared" si="0"/>
        <v>43815</v>
      </c>
      <c r="C18" s="104">
        <f>'BPA Product '!C21*$C$1%</f>
        <v>310.5365358274064</v>
      </c>
      <c r="D18" s="288">
        <f t="shared" si="1"/>
        <v>66.45481866706497</v>
      </c>
      <c r="E18" s="105"/>
      <c r="F18" s="106"/>
    </row>
    <row r="19" spans="2:6">
      <c r="B19" s="103">
        <f t="shared" si="0"/>
        <v>43816</v>
      </c>
      <c r="C19" s="104">
        <f>'BPA Product '!C22*$C$1%</f>
        <v>389.0630161515781</v>
      </c>
      <c r="D19" s="288">
        <f t="shared" si="1"/>
        <v>83.259485456437716</v>
      </c>
      <c r="E19" s="105"/>
      <c r="F19" s="106"/>
    </row>
    <row r="20" spans="2:6">
      <c r="B20" s="103">
        <f t="shared" si="0"/>
        <v>43817</v>
      </c>
      <c r="C20" s="104">
        <f>'BPA Product '!C23*$C$1%</f>
        <v>386.43424884370813</v>
      </c>
      <c r="D20" s="288">
        <f t="shared" si="1"/>
        <v>82.696929252553545</v>
      </c>
      <c r="E20" s="105"/>
      <c r="F20" s="106"/>
    </row>
    <row r="21" spans="2:6">
      <c r="B21" s="103">
        <f t="shared" si="0"/>
        <v>43818</v>
      </c>
      <c r="C21" s="104">
        <f>'BPA Product '!C24*$C$1%</f>
        <v>460.15327674808213</v>
      </c>
      <c r="D21" s="288">
        <f t="shared" si="1"/>
        <v>98.472801224089579</v>
      </c>
      <c r="E21" s="105"/>
      <c r="F21" s="106"/>
    </row>
    <row r="22" spans="2:6">
      <c r="B22" s="103">
        <f t="shared" si="0"/>
        <v>43819</v>
      </c>
      <c r="C22" s="104">
        <f>'BPA Product '!C25*$C$1%</f>
        <v>460.26234130408784</v>
      </c>
      <c r="D22" s="288">
        <f t="shared" si="1"/>
        <v>98.4961410390748</v>
      </c>
      <c r="E22" s="105"/>
      <c r="F22" s="106"/>
    </row>
    <row r="23" spans="2:6">
      <c r="B23" s="103">
        <f t="shared" si="0"/>
        <v>43820</v>
      </c>
      <c r="C23" s="104">
        <f>'BPA Product '!C26*$C$1%</f>
        <v>481.86703835287199</v>
      </c>
      <c r="D23" s="288">
        <f t="shared" si="1"/>
        <v>103.1195462075146</v>
      </c>
      <c r="E23" s="105"/>
      <c r="F23" s="106"/>
    </row>
    <row r="24" spans="2:6">
      <c r="B24" s="103">
        <f t="shared" si="0"/>
        <v>43821</v>
      </c>
      <c r="C24" s="104">
        <f>'BPA Product '!C27*$C$1%</f>
        <v>467.58949647574991</v>
      </c>
      <c r="D24" s="288">
        <f t="shared" si="1"/>
        <v>100.06415224581048</v>
      </c>
      <c r="E24" s="105"/>
      <c r="F24" s="106"/>
    </row>
    <row r="25" spans="2:6">
      <c r="B25" s="103">
        <f t="shared" si="0"/>
        <v>43822</v>
      </c>
      <c r="C25" s="104">
        <f>'BPA Product '!C28*$C$1%</f>
        <v>421.18748537510294</v>
      </c>
      <c r="D25" s="288">
        <f t="shared" si="1"/>
        <v>90.134121870272025</v>
      </c>
      <c r="E25" s="105"/>
      <c r="F25" s="106"/>
    </row>
    <row r="26" spans="2:6">
      <c r="B26" s="103">
        <f t="shared" si="0"/>
        <v>43823</v>
      </c>
      <c r="C26" s="104">
        <f>'BPA Product '!C29*$C$1%</f>
        <v>0</v>
      </c>
      <c r="D26" s="288">
        <f t="shared" si="1"/>
        <v>0</v>
      </c>
      <c r="E26" s="105"/>
      <c r="F26" s="106"/>
    </row>
    <row r="27" spans="2:6">
      <c r="B27" s="103">
        <f t="shared" si="0"/>
        <v>43824</v>
      </c>
      <c r="C27" s="104">
        <f>'BPA Product '!C30*$C$1%</f>
        <v>148.82354414972446</v>
      </c>
      <c r="D27" s="288">
        <f t="shared" si="1"/>
        <v>31.848238448041034</v>
      </c>
      <c r="E27" s="105"/>
      <c r="F27" s="106"/>
    </row>
    <row r="28" spans="2:6">
      <c r="B28" s="103">
        <f t="shared" si="0"/>
        <v>43825</v>
      </c>
      <c r="C28" s="104">
        <f>'BPA Product '!C31*$C$1%</f>
        <v>423.46792609158774</v>
      </c>
      <c r="D28" s="288">
        <f t="shared" si="1"/>
        <v>90.622136183599778</v>
      </c>
      <c r="E28" s="105"/>
      <c r="F28" s="106"/>
    </row>
    <row r="29" spans="2:6">
      <c r="B29" s="103">
        <f t="shared" si="0"/>
        <v>43826</v>
      </c>
      <c r="C29" s="104">
        <f>'BPA Product '!C32*$C$1%</f>
        <v>446.27233325643562</v>
      </c>
      <c r="D29" s="288">
        <f>C29/(150000/7704*24/100)</f>
        <v>95.502279316877221</v>
      </c>
      <c r="E29" s="105"/>
      <c r="F29" s="106"/>
    </row>
    <row r="30" spans="2:6">
      <c r="B30" s="103">
        <f t="shared" si="0"/>
        <v>43827</v>
      </c>
      <c r="C30" s="104">
        <f>'BPA Product '!C33*$C$1%</f>
        <v>452.41960823130762</v>
      </c>
      <c r="D30" s="288">
        <f t="shared" si="1"/>
        <v>96.817796161499828</v>
      </c>
      <c r="E30" s="105"/>
      <c r="F30" s="106"/>
    </row>
    <row r="31" spans="2:6">
      <c r="B31" s="103">
        <f t="shared" si="0"/>
        <v>43828</v>
      </c>
      <c r="C31" s="104">
        <f>'BPA Product '!C34*$C$1%</f>
        <v>456.7127857540811</v>
      </c>
      <c r="D31" s="288">
        <f t="shared" ref="D31:D32" si="2">C31/(150000/7704*24/100)</f>
        <v>97.736536151373357</v>
      </c>
      <c r="E31" s="105"/>
      <c r="F31" s="287"/>
    </row>
    <row r="32" spans="2:6">
      <c r="B32" s="103">
        <f t="shared" si="0"/>
        <v>43829</v>
      </c>
      <c r="C32" s="104">
        <f>'BPA Product '!C35*$C$1%</f>
        <v>467.6787311124819</v>
      </c>
      <c r="D32" s="288">
        <f t="shared" si="2"/>
        <v>100.08324845807113</v>
      </c>
      <c r="E32" s="105"/>
      <c r="F32" s="287"/>
    </row>
    <row r="33" spans="2:6" s="706" customFormat="1" hidden="1">
      <c r="B33" s="103">
        <f t="shared" si="0"/>
        <v>43830</v>
      </c>
      <c r="C33" s="104">
        <f>'BPA Product '!C36*$C$1%</f>
        <v>265.00704117480581</v>
      </c>
      <c r="D33" s="288">
        <f t="shared" ref="D33" si="3">C33/(150000/7704*24/100)</f>
        <v>56.711506811408441</v>
      </c>
      <c r="E33" s="364"/>
      <c r="F33" s="707"/>
    </row>
    <row r="34" spans="2:6" ht="15.75" thickBot="1">
      <c r="C34" s="499">
        <f>IF(DAY($B$33)=31,SUM(C3:C33),IF(DAY($B$33)=1, SUM(C3:C32),IF(DAY($B$33)=2,SUM(C3:C31),SUM(C3:C30))))</f>
        <v>12651.160000000002</v>
      </c>
      <c r="D34" s="108">
        <f>IF(DAY(B33)=31,$C$34/467.3/31%,IF(DAY(B33)=1,$C$34/467.3/30%,IF(DAY(B33)=2,$C$34/467.3/29%,$C$34/467.3/28%)))</f>
        <v>87.331892891904772</v>
      </c>
      <c r="E34" t="s">
        <v>437</v>
      </c>
    </row>
    <row r="35" spans="2:6" ht="15.75" thickTop="1"/>
    <row r="36" spans="2:6">
      <c r="C36" s="790">
        <f>'BPA Product '!K37</f>
        <v>12651.16</v>
      </c>
      <c r="D36" s="791">
        <f>C36/467.3/DAY(EOMONTH(B3,0))%</f>
        <v>87.331892891904758</v>
      </c>
      <c r="E36" s="792" t="s">
        <v>438</v>
      </c>
    </row>
  </sheetData>
  <pageMargins left="0.17" right="0.18" top="0.35" bottom="0.26" header="0.3" footer="0.3"/>
  <pageSetup paperSize="9" orientation="portrait" horizontalDpi="1200" verticalDpi="1200" r:id="rId1"/>
  <customProperties>
    <customPr name="EpmWorksheetKeyString_GUID" r:id="rId2"/>
  </customProperties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tabColor rgb="FF00B050"/>
    <pageSetUpPr fitToPage="1"/>
  </sheetPr>
  <dimension ref="A1:AQ192"/>
  <sheetViews>
    <sheetView showGridLines="0" zoomScale="70" zoomScaleNormal="70" workbookViewId="0">
      <pane xSplit="1" ySplit="4" topLeftCell="B23" activePane="bottomRight" state="frozen"/>
      <selection activeCell="M48" sqref="M48"/>
      <selection pane="topRight" activeCell="M48" sqref="M48"/>
      <selection pane="bottomLeft" activeCell="M48" sqref="M48"/>
      <selection pane="bottomRight" activeCell="K47" sqref="K47"/>
    </sheetView>
  </sheetViews>
  <sheetFormatPr defaultRowHeight="15" outlineLevelRow="1"/>
  <cols>
    <col min="1" max="1" width="14.5703125" customWidth="1"/>
    <col min="2" max="3" width="13.5703125" customWidth="1"/>
    <col min="4" max="4" width="15.5703125" customWidth="1"/>
    <col min="5" max="7" width="13.5703125" customWidth="1"/>
    <col min="8" max="8" width="16.42578125" customWidth="1"/>
    <col min="9" max="9" width="13.5703125" customWidth="1"/>
    <col min="10" max="10" width="12.7109375" customWidth="1"/>
    <col min="11" max="11" width="13.5703125" customWidth="1"/>
    <col min="12" max="12" width="11.7109375" customWidth="1"/>
    <col min="13" max="13" width="8" style="111" customWidth="1"/>
    <col min="14" max="14" width="8" customWidth="1"/>
    <col min="15" max="15" width="11.5703125" style="112" customWidth="1"/>
    <col min="16" max="16" width="12.5703125" style="112" customWidth="1"/>
    <col min="17" max="17" width="12.5703125" style="113" customWidth="1"/>
    <col min="18" max="18" width="9.7109375" style="113" customWidth="1"/>
    <col min="19" max="19" width="9.7109375" customWidth="1"/>
    <col min="20" max="20" width="9.7109375" style="110" customWidth="1"/>
    <col min="21" max="25" width="9.7109375" style="114" customWidth="1"/>
    <col min="26" max="26" width="9.7109375" style="110" customWidth="1"/>
    <col min="27" max="27" width="9.7109375" style="113" customWidth="1"/>
    <col min="28" max="29" width="9.7109375" customWidth="1"/>
    <col min="30" max="30" width="9.7109375" style="113" customWidth="1"/>
    <col min="31" max="33" width="9.7109375" customWidth="1"/>
  </cols>
  <sheetData>
    <row r="1" spans="1:32" ht="15.75" thickBot="1">
      <c r="A1" s="109" t="s">
        <v>110</v>
      </c>
      <c r="C1" s="110"/>
      <c r="E1" s="1257"/>
    </row>
    <row r="2" spans="1:32" ht="15.75" thickBot="1">
      <c r="A2" s="1751" t="s">
        <v>111</v>
      </c>
      <c r="B2" s="1754" t="s">
        <v>102</v>
      </c>
      <c r="C2" s="1755"/>
      <c r="D2" s="1755"/>
      <c r="E2" s="1756"/>
      <c r="F2" s="1757" t="s">
        <v>112</v>
      </c>
      <c r="G2" s="1758"/>
      <c r="H2" s="1758"/>
      <c r="I2" s="1759"/>
      <c r="J2" s="115"/>
      <c r="K2" s="1170"/>
      <c r="L2" s="1170"/>
      <c r="M2" s="1170"/>
      <c r="N2" s="1170"/>
      <c r="O2" s="1170"/>
      <c r="P2" s="1170"/>
      <c r="Q2" s="1170"/>
      <c r="R2" s="1170"/>
      <c r="S2" s="1170"/>
      <c r="T2" s="1170"/>
      <c r="U2" s="1170"/>
      <c r="V2" s="1760"/>
      <c r="W2" s="1760"/>
      <c r="X2" s="1760"/>
      <c r="Y2" s="1760"/>
      <c r="Z2" s="1760"/>
      <c r="AA2" s="1760"/>
      <c r="AB2" s="1760"/>
      <c r="AC2" s="1760"/>
      <c r="AD2" s="1760"/>
    </row>
    <row r="3" spans="1:32" ht="15" customHeight="1">
      <c r="A3" s="1752"/>
      <c r="B3" s="1761" t="s">
        <v>113</v>
      </c>
      <c r="C3" s="1762"/>
      <c r="D3" s="116" t="s">
        <v>114</v>
      </c>
      <c r="E3" s="1763" t="s">
        <v>115</v>
      </c>
      <c r="F3" s="1765" t="s">
        <v>116</v>
      </c>
      <c r="G3" s="1762"/>
      <c r="H3" s="117" t="s">
        <v>117</v>
      </c>
      <c r="I3" s="1766" t="s">
        <v>115</v>
      </c>
      <c r="J3" s="115"/>
      <c r="K3" s="1165"/>
      <c r="L3" s="1165"/>
      <c r="M3" s="1165"/>
      <c r="N3" s="1166"/>
      <c r="O3" s="118"/>
      <c r="P3" s="119"/>
      <c r="Q3" s="119"/>
      <c r="R3" s="119"/>
      <c r="S3" s="119"/>
      <c r="T3" s="120"/>
      <c r="U3" s="1749"/>
      <c r="V3" s="1750"/>
      <c r="W3" s="1750"/>
      <c r="X3" s="1750"/>
      <c r="Y3" s="121"/>
      <c r="Z3" s="122"/>
      <c r="AA3" s="123"/>
      <c r="AB3" s="124"/>
      <c r="AC3" s="124"/>
      <c r="AD3" s="123"/>
    </row>
    <row r="4" spans="1:32" ht="36" customHeight="1" thickBot="1">
      <c r="A4" s="1753"/>
      <c r="B4" s="125" t="s">
        <v>118</v>
      </c>
      <c r="C4" s="126" t="s">
        <v>119</v>
      </c>
      <c r="D4" s="126" t="s">
        <v>120</v>
      </c>
      <c r="E4" s="1764"/>
      <c r="F4" s="127" t="s">
        <v>118</v>
      </c>
      <c r="G4" s="128" t="s">
        <v>119</v>
      </c>
      <c r="H4" s="128" t="s">
        <v>120</v>
      </c>
      <c r="I4" s="1767"/>
      <c r="J4" s="129"/>
      <c r="K4" s="130"/>
      <c r="L4" s="129"/>
      <c r="M4" s="1164"/>
      <c r="N4" s="1166"/>
      <c r="O4" s="119"/>
      <c r="P4" s="131"/>
      <c r="Q4" s="119"/>
      <c r="R4" s="119"/>
      <c r="S4" s="132"/>
      <c r="T4" s="133"/>
      <c r="U4" s="1749"/>
      <c r="V4" s="130"/>
      <c r="W4" s="129"/>
      <c r="X4" s="134"/>
      <c r="Y4" s="134"/>
      <c r="Z4" s="133"/>
      <c r="AA4" s="119"/>
      <c r="AB4" s="119"/>
      <c r="AC4" s="119"/>
      <c r="AD4" s="119"/>
    </row>
    <row r="5" spans="1:32">
      <c r="A5" s="135">
        <v>43800</v>
      </c>
      <c r="B5" s="1264">
        <v>55.78</v>
      </c>
      <c r="C5" s="1259">
        <v>55.741999999999997</v>
      </c>
      <c r="D5" s="1305">
        <v>139.22399999999999</v>
      </c>
      <c r="E5" s="137">
        <f t="shared" ref="E5:E35" si="0">B5+D5-C5</f>
        <v>139.262</v>
      </c>
      <c r="F5" s="1253">
        <v>455.20299999999997</v>
      </c>
      <c r="G5" s="1196">
        <v>455.56700000000001</v>
      </c>
      <c r="H5" s="1294">
        <v>461.58800000000002</v>
      </c>
      <c r="I5" s="138">
        <f t="shared" ref="I5:I35" si="1">F5+H5-G5</f>
        <v>461.22399999999993</v>
      </c>
      <c r="J5" s="139" t="str">
        <f>IF(C5=G5,"Not Ok","ok")</f>
        <v>ok</v>
      </c>
      <c r="K5" s="319"/>
      <c r="L5" s="1168"/>
      <c r="M5" s="1167"/>
      <c r="N5" s="1169"/>
      <c r="O5" s="542"/>
      <c r="P5" s="119"/>
      <c r="Q5" s="144"/>
      <c r="R5" s="107"/>
      <c r="S5" s="48"/>
      <c r="T5" s="145"/>
      <c r="U5" s="146"/>
      <c r="V5" s="147"/>
      <c r="W5" s="140"/>
      <c r="X5" s="148"/>
      <c r="Y5" s="149"/>
      <c r="Z5" s="143"/>
      <c r="AA5" s="144"/>
      <c r="AB5" s="107"/>
      <c r="AC5" s="107"/>
      <c r="AD5" s="146"/>
    </row>
    <row r="6" spans="1:32">
      <c r="A6" s="150">
        <f>A5+1</f>
        <v>43801</v>
      </c>
      <c r="B6" s="136">
        <f>C5</f>
        <v>55.741999999999997</v>
      </c>
      <c r="C6" s="1260">
        <v>56.027999999999999</v>
      </c>
      <c r="D6" s="1306">
        <v>139.196</v>
      </c>
      <c r="E6" s="137">
        <f t="shared" si="0"/>
        <v>138.91</v>
      </c>
      <c r="F6" s="282">
        <f>G5</f>
        <v>455.56700000000001</v>
      </c>
      <c r="G6" s="1197">
        <v>455.36900000000003</v>
      </c>
      <c r="H6" s="1294">
        <v>521.85599999999999</v>
      </c>
      <c r="I6" s="138">
        <f t="shared" si="1"/>
        <v>522.05399999999997</v>
      </c>
      <c r="J6" s="139" t="str">
        <f t="shared" ref="J6:J35" si="2">IF(C6=G6,"Not Ok","ok")</f>
        <v>ok</v>
      </c>
      <c r="K6" s="319"/>
      <c r="L6" s="1168"/>
      <c r="M6" s="1167"/>
      <c r="N6" s="1169"/>
      <c r="O6" s="542"/>
      <c r="P6" s="119"/>
      <c r="Q6" s="144"/>
      <c r="R6" s="107"/>
      <c r="S6" s="48"/>
      <c r="T6" s="145"/>
      <c r="U6" s="146"/>
      <c r="V6" s="140"/>
      <c r="W6" s="140"/>
      <c r="X6" s="148"/>
      <c r="Y6" s="149"/>
      <c r="Z6" s="143"/>
      <c r="AA6" s="144"/>
      <c r="AB6" s="107"/>
      <c r="AC6" s="107"/>
      <c r="AD6" s="146"/>
    </row>
    <row r="7" spans="1:32">
      <c r="A7" s="150">
        <f t="shared" ref="A7:A35" si="3">A6+1</f>
        <v>43802</v>
      </c>
      <c r="B7" s="136">
        <f t="shared" ref="B7:B35" si="4">C6</f>
        <v>56.027999999999999</v>
      </c>
      <c r="C7" s="1260">
        <v>58.932000000000002</v>
      </c>
      <c r="D7" s="1307">
        <v>139.184</v>
      </c>
      <c r="E7" s="137">
        <f t="shared" si="0"/>
        <v>136.27999999999997</v>
      </c>
      <c r="F7" s="282">
        <f t="shared" ref="F7:F35" si="5">G6</f>
        <v>455.36900000000003</v>
      </c>
      <c r="G7" s="1197">
        <v>455.52800000000002</v>
      </c>
      <c r="H7" s="1294">
        <v>475.11200000000002</v>
      </c>
      <c r="I7" s="138">
        <f t="shared" si="1"/>
        <v>474.95299999999997</v>
      </c>
      <c r="J7" s="139" t="str">
        <f t="shared" si="2"/>
        <v>ok</v>
      </c>
      <c r="K7" s="319"/>
      <c r="L7" s="1168"/>
      <c r="M7" s="1167"/>
      <c r="N7" s="1169"/>
      <c r="O7" s="542"/>
      <c r="P7" s="119"/>
      <c r="Q7" s="144"/>
      <c r="R7" s="107"/>
      <c r="S7" s="48"/>
      <c r="T7" s="145"/>
      <c r="U7" s="146"/>
      <c r="V7" s="140"/>
      <c r="W7" s="147"/>
      <c r="X7" s="148"/>
      <c r="Y7" s="149"/>
      <c r="Z7" s="143"/>
      <c r="AA7" s="144"/>
      <c r="AB7" s="107"/>
      <c r="AC7" s="107"/>
      <c r="AD7" s="146"/>
    </row>
    <row r="8" spans="1:32">
      <c r="A8" s="150">
        <f t="shared" si="3"/>
        <v>43803</v>
      </c>
      <c r="B8" s="136">
        <f t="shared" si="4"/>
        <v>58.932000000000002</v>
      </c>
      <c r="C8" s="1260">
        <v>63.673000000000002</v>
      </c>
      <c r="D8" s="1308">
        <v>138.53200000000001</v>
      </c>
      <c r="E8" s="137">
        <f t="shared" si="0"/>
        <v>133.791</v>
      </c>
      <c r="F8" s="282">
        <f t="shared" si="5"/>
        <v>455.52800000000002</v>
      </c>
      <c r="G8" s="1197">
        <v>348.94600000000003</v>
      </c>
      <c r="H8" s="1294">
        <v>325.07600000000002</v>
      </c>
      <c r="I8" s="138">
        <f t="shared" si="1"/>
        <v>431.65800000000002</v>
      </c>
      <c r="J8" s="139" t="str">
        <f t="shared" si="2"/>
        <v>ok</v>
      </c>
      <c r="K8" s="319"/>
      <c r="L8" s="1168"/>
      <c r="M8" s="1167"/>
      <c r="N8" s="1169"/>
      <c r="O8" s="542"/>
      <c r="P8" s="119"/>
      <c r="Q8" s="144"/>
      <c r="R8" s="107"/>
      <c r="S8" s="48"/>
      <c r="T8" s="145"/>
      <c r="U8" s="146"/>
      <c r="V8" s="140"/>
      <c r="W8" s="140"/>
      <c r="X8" s="148"/>
      <c r="Y8" s="149"/>
      <c r="Z8" s="143"/>
      <c r="AA8" s="144"/>
      <c r="AB8" s="107"/>
      <c r="AC8" s="107"/>
      <c r="AD8" s="146"/>
    </row>
    <row r="9" spans="1:32">
      <c r="A9" s="150">
        <f t="shared" si="3"/>
        <v>43804</v>
      </c>
      <c r="B9" s="136">
        <f t="shared" si="4"/>
        <v>63.673000000000002</v>
      </c>
      <c r="C9" s="1260">
        <v>63.786999999999999</v>
      </c>
      <c r="D9" s="1307">
        <v>135.65600000000001</v>
      </c>
      <c r="E9" s="137">
        <f t="shared" si="0"/>
        <v>135.542</v>
      </c>
      <c r="F9" s="282">
        <f t="shared" si="5"/>
        <v>348.94600000000003</v>
      </c>
      <c r="G9" s="1197">
        <v>109.991</v>
      </c>
      <c r="H9" s="1294">
        <v>136.22399999999999</v>
      </c>
      <c r="I9" s="138">
        <f t="shared" si="1"/>
        <v>375.17900000000003</v>
      </c>
      <c r="J9" s="139" t="str">
        <f t="shared" si="2"/>
        <v>ok</v>
      </c>
      <c r="K9" s="319"/>
      <c r="L9" s="1168"/>
      <c r="M9" s="1167"/>
      <c r="N9" s="1169"/>
      <c r="O9" s="542"/>
      <c r="P9" s="119"/>
      <c r="Q9" s="144"/>
      <c r="R9" s="107"/>
      <c r="S9" s="48"/>
      <c r="T9" s="145"/>
      <c r="U9" s="146"/>
      <c r="V9" s="140"/>
      <c r="W9" s="140"/>
      <c r="X9" s="148"/>
      <c r="Y9" s="149"/>
      <c r="Z9" s="143"/>
      <c r="AA9" s="144"/>
      <c r="AB9" s="107"/>
      <c r="AC9" s="107"/>
      <c r="AD9" s="146"/>
    </row>
    <row r="10" spans="1:32">
      <c r="A10" s="150">
        <f t="shared" si="3"/>
        <v>43805</v>
      </c>
      <c r="B10" s="136">
        <f t="shared" si="4"/>
        <v>63.786999999999999</v>
      </c>
      <c r="C10" s="1260">
        <v>62.88</v>
      </c>
      <c r="D10" s="1307">
        <v>133.20400000000001</v>
      </c>
      <c r="E10" s="137">
        <f t="shared" si="0"/>
        <v>134.11100000000002</v>
      </c>
      <c r="F10" s="282">
        <f t="shared" si="5"/>
        <v>109.991</v>
      </c>
      <c r="G10" s="1197">
        <v>70.691000000000003</v>
      </c>
      <c r="H10" s="1294">
        <v>373.05599999999998</v>
      </c>
      <c r="I10" s="138">
        <f t="shared" si="1"/>
        <v>412.35599999999999</v>
      </c>
      <c r="J10" s="139" t="str">
        <f t="shared" si="2"/>
        <v>ok</v>
      </c>
      <c r="K10" s="319"/>
      <c r="L10" s="1168"/>
      <c r="M10" s="1167"/>
      <c r="N10" s="1169"/>
      <c r="O10" s="542"/>
      <c r="P10" s="119"/>
      <c r="Q10" s="144"/>
      <c r="R10" s="107"/>
      <c r="S10" s="48"/>
      <c r="T10" s="145"/>
      <c r="U10" s="146"/>
      <c r="V10" s="140"/>
      <c r="W10" s="140"/>
      <c r="X10" s="148"/>
      <c r="Y10" s="149"/>
      <c r="Z10" s="143"/>
      <c r="AA10" s="144"/>
      <c r="AB10" s="107"/>
      <c r="AC10" s="107"/>
      <c r="AD10" s="146"/>
    </row>
    <row r="11" spans="1:32">
      <c r="A11" s="150">
        <f t="shared" si="3"/>
        <v>43806</v>
      </c>
      <c r="B11" s="136">
        <f t="shared" si="4"/>
        <v>62.88</v>
      </c>
      <c r="C11" s="1260">
        <v>63.031999999999996</v>
      </c>
      <c r="D11" s="1307">
        <v>133.19999999999999</v>
      </c>
      <c r="E11" s="137">
        <f t="shared" si="0"/>
        <v>133.048</v>
      </c>
      <c r="F11" s="282">
        <f t="shared" si="5"/>
        <v>70.691000000000003</v>
      </c>
      <c r="G11" s="1197">
        <v>70.376999999999995</v>
      </c>
      <c r="H11" s="1294">
        <v>456.06799999999998</v>
      </c>
      <c r="I11" s="138">
        <f t="shared" si="1"/>
        <v>456.38200000000001</v>
      </c>
      <c r="J11" s="139" t="str">
        <f t="shared" si="2"/>
        <v>ok</v>
      </c>
      <c r="K11" s="319"/>
      <c r="L11" s="1168"/>
      <c r="M11" s="1168"/>
      <c r="N11" s="1321"/>
      <c r="O11" s="542"/>
      <c r="P11" s="119"/>
      <c r="Q11" s="144"/>
      <c r="R11" s="107"/>
      <c r="S11" s="48"/>
      <c r="T11" s="145"/>
      <c r="U11" s="146"/>
      <c r="V11" s="140"/>
      <c r="W11" s="140"/>
      <c r="X11" s="148"/>
      <c r="Y11" s="149"/>
      <c r="Z11" s="143"/>
      <c r="AA11" s="144"/>
      <c r="AB11" s="107"/>
      <c r="AC11" s="107"/>
      <c r="AD11" s="146"/>
    </row>
    <row r="12" spans="1:32">
      <c r="A12" s="150">
        <f t="shared" si="3"/>
        <v>43807</v>
      </c>
      <c r="B12" s="136">
        <f t="shared" si="4"/>
        <v>63.031999999999996</v>
      </c>
      <c r="C12" s="1261">
        <v>62.317999999999998</v>
      </c>
      <c r="D12" s="1307">
        <v>133.20400000000001</v>
      </c>
      <c r="E12" s="137">
        <f t="shared" si="0"/>
        <v>133.91800000000001</v>
      </c>
      <c r="F12" s="282">
        <f t="shared" si="5"/>
        <v>70.376999999999995</v>
      </c>
      <c r="G12" s="1197">
        <v>70.269000000000005</v>
      </c>
      <c r="H12" s="1294">
        <v>426.92</v>
      </c>
      <c r="I12" s="138">
        <f t="shared" si="1"/>
        <v>427.02800000000002</v>
      </c>
      <c r="J12" s="139" t="str">
        <f t="shared" si="2"/>
        <v>ok</v>
      </c>
      <c r="K12" s="319"/>
      <c r="L12" s="1168"/>
      <c r="M12" s="1167"/>
      <c r="N12" s="1169"/>
      <c r="O12" s="542"/>
      <c r="P12" s="119"/>
      <c r="Q12" s="144"/>
      <c r="R12" s="107"/>
      <c r="S12" s="48"/>
      <c r="T12" s="145"/>
      <c r="U12" s="146"/>
      <c r="V12" s="140"/>
      <c r="W12" s="140"/>
      <c r="X12" s="148"/>
      <c r="Y12" s="149"/>
      <c r="Z12" s="143"/>
      <c r="AA12" s="144"/>
      <c r="AB12" s="107"/>
      <c r="AC12" s="107"/>
      <c r="AD12" s="146"/>
    </row>
    <row r="13" spans="1:32">
      <c r="A13" s="150">
        <f t="shared" si="3"/>
        <v>43808</v>
      </c>
      <c r="B13" s="136">
        <f t="shared" si="4"/>
        <v>62.317999999999998</v>
      </c>
      <c r="C13" s="1261">
        <v>62.612000000000002</v>
      </c>
      <c r="D13" s="1307">
        <v>133.19200000000001</v>
      </c>
      <c r="E13" s="137">
        <f t="shared" si="0"/>
        <v>132.898</v>
      </c>
      <c r="F13" s="282">
        <f t="shared" si="5"/>
        <v>70.269000000000005</v>
      </c>
      <c r="G13" s="1197">
        <v>70.301000000000002</v>
      </c>
      <c r="H13" s="1294">
        <v>396.69600000000003</v>
      </c>
      <c r="I13" s="138">
        <f t="shared" si="1"/>
        <v>396.66400000000004</v>
      </c>
      <c r="J13" s="139" t="str">
        <f t="shared" si="2"/>
        <v>ok</v>
      </c>
      <c r="K13" s="319"/>
      <c r="L13" s="1168"/>
      <c r="M13" s="1167"/>
      <c r="N13" s="1169"/>
      <c r="O13" s="542"/>
      <c r="P13" s="119"/>
      <c r="Q13" s="144"/>
      <c r="R13" s="107"/>
      <c r="S13" s="48"/>
      <c r="T13" s="145"/>
      <c r="U13" s="146"/>
      <c r="V13" s="140"/>
      <c r="W13" s="140"/>
      <c r="X13" s="148"/>
      <c r="Y13" s="149"/>
      <c r="Z13" s="143"/>
      <c r="AA13" s="144"/>
      <c r="AB13" s="107"/>
      <c r="AC13" s="107"/>
      <c r="AD13" s="146"/>
      <c r="AF13" s="4"/>
    </row>
    <row r="14" spans="1:32">
      <c r="A14" s="150">
        <f t="shared" si="3"/>
        <v>43809</v>
      </c>
      <c r="B14" s="136">
        <f t="shared" si="4"/>
        <v>62.612000000000002</v>
      </c>
      <c r="C14" s="1261">
        <v>64.159000000000006</v>
      </c>
      <c r="D14" s="1307">
        <v>132.74</v>
      </c>
      <c r="E14" s="137">
        <f t="shared" si="0"/>
        <v>131.19299999999998</v>
      </c>
      <c r="F14" s="282">
        <f t="shared" si="5"/>
        <v>70.301000000000002</v>
      </c>
      <c r="G14" s="1197">
        <v>70.394000000000005</v>
      </c>
      <c r="H14" s="1294">
        <v>431.572</v>
      </c>
      <c r="I14" s="138">
        <f t="shared" si="1"/>
        <v>431.47899999999998</v>
      </c>
      <c r="J14" s="139" t="str">
        <f t="shared" si="2"/>
        <v>ok</v>
      </c>
      <c r="K14" s="319"/>
      <c r="L14" s="1168"/>
      <c r="M14" s="1167"/>
      <c r="N14" s="1169"/>
      <c r="O14" s="542"/>
      <c r="P14" s="119"/>
      <c r="Q14" s="144"/>
      <c r="R14" s="107"/>
      <c r="S14" s="48"/>
      <c r="T14" s="145"/>
      <c r="U14" s="146"/>
      <c r="V14" s="140"/>
      <c r="W14" s="140"/>
      <c r="X14" s="148"/>
      <c r="Y14" s="149"/>
      <c r="Z14" s="143"/>
      <c r="AA14" s="144"/>
      <c r="AB14" s="107"/>
      <c r="AC14" s="107"/>
      <c r="AD14" s="146"/>
    </row>
    <row r="15" spans="1:32">
      <c r="A15" s="150">
        <f t="shared" si="3"/>
        <v>43810</v>
      </c>
      <c r="B15" s="136">
        <f t="shared" si="4"/>
        <v>64.159000000000006</v>
      </c>
      <c r="C15" s="1259">
        <v>63.279000000000003</v>
      </c>
      <c r="D15" s="1307">
        <v>128.636</v>
      </c>
      <c r="E15" s="137">
        <f t="shared" si="0"/>
        <v>129.51600000000002</v>
      </c>
      <c r="F15" s="282">
        <f t="shared" si="5"/>
        <v>70.394000000000005</v>
      </c>
      <c r="G15" s="1197">
        <v>70.727000000000004</v>
      </c>
      <c r="H15" s="1294">
        <v>391.72800000000001</v>
      </c>
      <c r="I15" s="138">
        <f t="shared" si="1"/>
        <v>391.39499999999998</v>
      </c>
      <c r="J15" s="139" t="str">
        <f t="shared" si="2"/>
        <v>ok</v>
      </c>
      <c r="K15" s="319"/>
      <c r="L15" s="1168"/>
      <c r="M15" s="1167"/>
      <c r="N15" s="1169"/>
      <c r="O15" s="542"/>
      <c r="P15" s="119"/>
      <c r="Q15" s="144"/>
      <c r="R15" s="107"/>
      <c r="S15" s="48"/>
      <c r="T15" s="145"/>
      <c r="U15" s="146"/>
      <c r="V15" s="140"/>
      <c r="W15" s="140"/>
      <c r="X15" s="148"/>
      <c r="Y15" s="149"/>
      <c r="Z15" s="143"/>
      <c r="AA15" s="144"/>
      <c r="AB15" s="107"/>
      <c r="AC15" s="107"/>
      <c r="AD15" s="146"/>
    </row>
    <row r="16" spans="1:32">
      <c r="A16" s="150">
        <f t="shared" si="3"/>
        <v>43811</v>
      </c>
      <c r="B16" s="136">
        <f t="shared" si="4"/>
        <v>63.279000000000003</v>
      </c>
      <c r="C16" s="1259">
        <v>69.734999999999999</v>
      </c>
      <c r="D16" s="1307">
        <v>126.688</v>
      </c>
      <c r="E16" s="137">
        <f t="shared" si="0"/>
        <v>120.23200000000001</v>
      </c>
      <c r="F16" s="282">
        <f t="shared" si="5"/>
        <v>70.727000000000004</v>
      </c>
      <c r="G16" s="1197">
        <v>70.912999999999997</v>
      </c>
      <c r="H16" s="1294">
        <v>336.08</v>
      </c>
      <c r="I16" s="138">
        <f t="shared" si="1"/>
        <v>335.89400000000001</v>
      </c>
      <c r="J16" s="139" t="str">
        <f t="shared" si="2"/>
        <v>ok</v>
      </c>
      <c r="K16" s="319"/>
      <c r="L16" s="160"/>
      <c r="M16" s="141"/>
      <c r="N16" s="139"/>
      <c r="O16" s="542"/>
      <c r="P16" s="119"/>
      <c r="Q16" s="144"/>
      <c r="R16" s="107"/>
      <c r="S16" s="48"/>
      <c r="T16" s="145"/>
      <c r="U16" s="146"/>
      <c r="V16" s="140"/>
      <c r="W16" s="140"/>
      <c r="X16" s="148"/>
      <c r="Y16" s="149"/>
      <c r="Z16" s="143"/>
      <c r="AA16" s="144"/>
      <c r="AB16" s="107"/>
      <c r="AC16" s="107"/>
      <c r="AD16" s="146"/>
    </row>
    <row r="17" spans="1:43">
      <c r="A17" s="150">
        <f t="shared" si="3"/>
        <v>43812</v>
      </c>
      <c r="B17" s="136">
        <f t="shared" si="4"/>
        <v>69.734999999999999</v>
      </c>
      <c r="C17" s="1259">
        <v>53.963000000000001</v>
      </c>
      <c r="D17" s="1307">
        <v>119.5</v>
      </c>
      <c r="E17" s="137">
        <f t="shared" si="0"/>
        <v>135.27200000000002</v>
      </c>
      <c r="F17" s="282">
        <f t="shared" si="5"/>
        <v>70.912999999999997</v>
      </c>
      <c r="G17" s="1197">
        <v>71.125</v>
      </c>
      <c r="H17" s="1294">
        <v>391.524</v>
      </c>
      <c r="I17" s="138">
        <f t="shared" si="1"/>
        <v>391.31200000000001</v>
      </c>
      <c r="J17" s="139" t="str">
        <f t="shared" si="2"/>
        <v>ok</v>
      </c>
      <c r="K17" s="319"/>
      <c r="L17" s="160"/>
      <c r="M17" s="141"/>
      <c r="N17" s="139"/>
      <c r="O17" s="542"/>
      <c r="P17" s="119"/>
      <c r="Q17" s="144"/>
      <c r="R17" s="107"/>
      <c r="S17" s="48"/>
      <c r="T17" s="145"/>
      <c r="U17" s="146"/>
      <c r="V17" s="140"/>
      <c r="W17" s="140"/>
      <c r="X17" s="148"/>
      <c r="Y17" s="149"/>
      <c r="Z17" s="143"/>
      <c r="AA17" s="144"/>
      <c r="AB17" s="107"/>
      <c r="AC17" s="107"/>
      <c r="AD17" s="146"/>
    </row>
    <row r="18" spans="1:43">
      <c r="A18" s="150">
        <f t="shared" si="3"/>
        <v>43813</v>
      </c>
      <c r="B18" s="136">
        <f t="shared" si="4"/>
        <v>53.963000000000001</v>
      </c>
      <c r="C18" s="1259">
        <v>51.64</v>
      </c>
      <c r="D18" s="1307">
        <v>100.15600000000001</v>
      </c>
      <c r="E18" s="137">
        <f t="shared" si="0"/>
        <v>102.479</v>
      </c>
      <c r="F18" s="282">
        <f t="shared" si="5"/>
        <v>71.125</v>
      </c>
      <c r="G18" s="1197">
        <v>71.004000000000005</v>
      </c>
      <c r="H18" s="1294">
        <v>305.77199999999999</v>
      </c>
      <c r="I18" s="138">
        <f t="shared" si="1"/>
        <v>305.89299999999997</v>
      </c>
      <c r="J18" s="139" t="str">
        <f t="shared" si="2"/>
        <v>ok</v>
      </c>
      <c r="K18" s="319"/>
      <c r="L18" s="160"/>
      <c r="M18" s="141"/>
      <c r="N18" s="139"/>
      <c r="O18" s="542"/>
      <c r="P18" s="119"/>
      <c r="Q18" s="144"/>
      <c r="R18" s="107"/>
      <c r="S18" s="48"/>
      <c r="T18" s="145"/>
      <c r="U18" s="146"/>
      <c r="V18" s="140"/>
      <c r="W18" s="140"/>
      <c r="X18" s="148"/>
      <c r="Y18" s="149"/>
      <c r="Z18" s="143"/>
      <c r="AA18" s="144"/>
      <c r="AB18" s="107"/>
      <c r="AC18" s="107"/>
      <c r="AD18" s="146"/>
      <c r="AF18" s="114"/>
    </row>
    <row r="19" spans="1:43">
      <c r="A19" s="150">
        <f t="shared" si="3"/>
        <v>43814</v>
      </c>
      <c r="B19" s="136">
        <f t="shared" si="4"/>
        <v>51.64</v>
      </c>
      <c r="C19" s="1259">
        <v>50.347999999999999</v>
      </c>
      <c r="D19" s="1307">
        <v>0</v>
      </c>
      <c r="E19" s="137">
        <f t="shared" si="0"/>
        <v>1.2920000000000016</v>
      </c>
      <c r="F19" s="282">
        <f t="shared" si="5"/>
        <v>71.004000000000005</v>
      </c>
      <c r="G19" s="1197">
        <v>71.164000000000001</v>
      </c>
      <c r="H19" s="1294">
        <v>104.47199999999999</v>
      </c>
      <c r="I19" s="138">
        <f t="shared" si="1"/>
        <v>104.312</v>
      </c>
      <c r="J19" s="139" t="str">
        <f t="shared" si="2"/>
        <v>ok</v>
      </c>
      <c r="K19" s="319"/>
      <c r="L19" s="160"/>
      <c r="M19" s="141"/>
      <c r="N19" s="139"/>
      <c r="O19" s="542"/>
      <c r="P19" s="119"/>
      <c r="Q19" s="144"/>
      <c r="R19" s="107"/>
      <c r="S19" s="48"/>
      <c r="T19" s="145"/>
      <c r="U19" s="146"/>
      <c r="V19" s="140"/>
      <c r="W19" s="140"/>
      <c r="X19" s="148"/>
      <c r="Y19" s="149"/>
      <c r="Z19" s="143"/>
      <c r="AA19" s="144"/>
      <c r="AB19" s="107"/>
      <c r="AC19" s="107"/>
      <c r="AD19" s="146"/>
    </row>
    <row r="20" spans="1:43">
      <c r="A20" s="150">
        <f t="shared" si="3"/>
        <v>43815</v>
      </c>
      <c r="B20" s="136">
        <f t="shared" si="4"/>
        <v>50.347999999999999</v>
      </c>
      <c r="C20" s="1259">
        <v>43.292000000000002</v>
      </c>
      <c r="D20" s="1307">
        <v>98.54</v>
      </c>
      <c r="E20" s="137">
        <f t="shared" si="0"/>
        <v>105.596</v>
      </c>
      <c r="F20" s="282">
        <f t="shared" si="5"/>
        <v>71.164000000000001</v>
      </c>
      <c r="G20" s="1197">
        <v>72.260999999999996</v>
      </c>
      <c r="H20" s="1294">
        <v>331.29199999999997</v>
      </c>
      <c r="I20" s="138">
        <f t="shared" si="1"/>
        <v>330.19499999999994</v>
      </c>
      <c r="J20" s="139" t="str">
        <f t="shared" si="2"/>
        <v>ok</v>
      </c>
      <c r="K20" s="319"/>
      <c r="L20" s="160"/>
      <c r="M20" s="141"/>
      <c r="N20" s="139"/>
      <c r="O20" s="542"/>
      <c r="P20" s="119"/>
      <c r="Q20" s="144"/>
      <c r="R20" s="107"/>
      <c r="S20" s="48"/>
      <c r="T20" s="145"/>
      <c r="U20" s="146"/>
      <c r="V20" s="140"/>
      <c r="W20" s="140"/>
      <c r="X20" s="148"/>
      <c r="Y20" s="149"/>
      <c r="Z20" s="143"/>
      <c r="AA20" s="144"/>
      <c r="AB20" s="107"/>
      <c r="AC20" s="107"/>
      <c r="AD20" s="146"/>
    </row>
    <row r="21" spans="1:43">
      <c r="A21" s="150">
        <f t="shared" si="3"/>
        <v>43816</v>
      </c>
      <c r="B21" s="136">
        <f t="shared" si="4"/>
        <v>43.292000000000002</v>
      </c>
      <c r="C21" s="1259">
        <v>54.052999999999997</v>
      </c>
      <c r="D21" s="1305">
        <v>129.41200000000001</v>
      </c>
      <c r="E21" s="137">
        <f t="shared" si="0"/>
        <v>118.65100000000001</v>
      </c>
      <c r="F21" s="282">
        <f t="shared" si="5"/>
        <v>72.260999999999996</v>
      </c>
      <c r="G21" s="1197">
        <v>71.650999999999996</v>
      </c>
      <c r="H21" s="1294">
        <v>430.46</v>
      </c>
      <c r="I21" s="138">
        <f t="shared" si="1"/>
        <v>431.07</v>
      </c>
      <c r="J21" s="139" t="str">
        <f t="shared" si="2"/>
        <v>ok</v>
      </c>
      <c r="K21" s="319"/>
      <c r="L21" s="160"/>
      <c r="M21" s="141"/>
      <c r="N21" s="139"/>
      <c r="O21" s="542"/>
      <c r="P21" s="119"/>
      <c r="Q21" s="144"/>
      <c r="R21" s="107"/>
      <c r="S21" s="48"/>
      <c r="T21" s="145"/>
      <c r="U21" s="146"/>
      <c r="V21" s="140"/>
      <c r="W21" s="140"/>
      <c r="X21" s="148"/>
      <c r="Y21" s="149"/>
      <c r="Z21" s="143"/>
      <c r="AA21" s="144"/>
      <c r="AB21" s="107"/>
      <c r="AC21" s="107"/>
      <c r="AD21" s="146"/>
    </row>
    <row r="22" spans="1:43">
      <c r="A22" s="150">
        <f t="shared" si="3"/>
        <v>43817</v>
      </c>
      <c r="B22" s="136">
        <f t="shared" si="4"/>
        <v>54.052999999999997</v>
      </c>
      <c r="C22" s="1259">
        <v>53.872999999999998</v>
      </c>
      <c r="D22" s="1305">
        <v>109.33199999999999</v>
      </c>
      <c r="E22" s="137">
        <f t="shared" si="0"/>
        <v>109.512</v>
      </c>
      <c r="F22" s="282">
        <f t="shared" si="5"/>
        <v>71.650999999999996</v>
      </c>
      <c r="G22" s="1197">
        <v>72.108999999999995</v>
      </c>
      <c r="H22" s="1294">
        <v>388.81200000000001</v>
      </c>
      <c r="I22" s="138">
        <f t="shared" si="1"/>
        <v>388.35400000000004</v>
      </c>
      <c r="J22" s="139" t="str">
        <f t="shared" si="2"/>
        <v>ok</v>
      </c>
      <c r="K22" s="319"/>
      <c r="L22" s="160"/>
      <c r="M22" s="141"/>
      <c r="N22" s="139"/>
      <c r="O22" s="542"/>
      <c r="P22" s="119"/>
      <c r="Q22" s="144"/>
      <c r="R22" s="107"/>
      <c r="S22" s="48"/>
      <c r="T22" s="145"/>
      <c r="U22" s="146"/>
      <c r="V22" s="140"/>
      <c r="W22" s="140"/>
      <c r="X22" s="148"/>
      <c r="Y22" s="149"/>
      <c r="Z22" s="143"/>
      <c r="AA22" s="144"/>
      <c r="AB22" s="107"/>
      <c r="AC22" s="107"/>
      <c r="AD22" s="146"/>
      <c r="AG22" s="151"/>
      <c r="AI22" s="49"/>
    </row>
    <row r="23" spans="1:43">
      <c r="A23" s="150">
        <f t="shared" si="3"/>
        <v>43818</v>
      </c>
      <c r="B23" s="136">
        <f t="shared" si="4"/>
        <v>53.872999999999998</v>
      </c>
      <c r="C23" s="1259">
        <v>51.515000000000001</v>
      </c>
      <c r="D23" s="1305">
        <v>111.212</v>
      </c>
      <c r="E23" s="137">
        <f t="shared" si="0"/>
        <v>113.57000000000001</v>
      </c>
      <c r="F23" s="282">
        <f t="shared" si="5"/>
        <v>72.108999999999995</v>
      </c>
      <c r="G23" s="1197">
        <v>72.141000000000005</v>
      </c>
      <c r="H23" s="1294">
        <v>350.41199999999998</v>
      </c>
      <c r="I23" s="138">
        <f>F23+H23-G23</f>
        <v>350.37999999999994</v>
      </c>
      <c r="J23" s="139" t="str">
        <f t="shared" si="2"/>
        <v>ok</v>
      </c>
      <c r="K23" s="319"/>
      <c r="L23" s="160"/>
      <c r="M23" s="141"/>
      <c r="N23" s="139"/>
      <c r="O23" s="542"/>
      <c r="P23" s="119"/>
      <c r="Q23" s="144"/>
      <c r="R23" s="107"/>
      <c r="S23" s="48"/>
      <c r="T23" s="145"/>
      <c r="U23" s="146"/>
      <c r="V23" s="140"/>
      <c r="W23" s="140"/>
      <c r="X23" s="148"/>
      <c r="Y23" s="149"/>
      <c r="Z23" s="143"/>
      <c r="AA23" s="144"/>
      <c r="AB23" s="107"/>
      <c r="AC23" s="107"/>
      <c r="AD23" s="146"/>
      <c r="AG23" s="151"/>
      <c r="AI23" s="49"/>
    </row>
    <row r="24" spans="1:43">
      <c r="A24" s="150">
        <f t="shared" si="3"/>
        <v>43819</v>
      </c>
      <c r="B24" s="136">
        <f t="shared" si="4"/>
        <v>51.515000000000001</v>
      </c>
      <c r="C24" s="1259">
        <v>53.26</v>
      </c>
      <c r="D24" s="1305">
        <v>117.6</v>
      </c>
      <c r="E24" s="137">
        <f t="shared" si="0"/>
        <v>115.85500000000002</v>
      </c>
      <c r="F24" s="282">
        <f t="shared" si="5"/>
        <v>72.141000000000005</v>
      </c>
      <c r="G24" s="1197">
        <v>71.606999999999999</v>
      </c>
      <c r="H24" s="1294">
        <v>375.512</v>
      </c>
      <c r="I24" s="138">
        <f t="shared" si="1"/>
        <v>376.04600000000005</v>
      </c>
      <c r="J24" s="139" t="str">
        <f t="shared" si="2"/>
        <v>ok</v>
      </c>
      <c r="K24" s="319"/>
      <c r="L24" s="160"/>
      <c r="M24" s="141"/>
      <c r="N24" s="139"/>
      <c r="O24" s="542"/>
      <c r="P24" s="119"/>
      <c r="Q24" s="144"/>
      <c r="R24" s="107"/>
      <c r="S24" s="48"/>
      <c r="T24" s="145"/>
      <c r="U24" s="146"/>
      <c r="V24" s="140"/>
      <c r="W24" s="140"/>
      <c r="X24" s="148"/>
      <c r="Y24" s="149"/>
      <c r="Z24" s="143"/>
      <c r="AA24" s="144"/>
      <c r="AB24" s="107"/>
      <c r="AC24" s="107"/>
      <c r="AD24" s="146"/>
      <c r="AG24" s="151"/>
      <c r="AI24" s="49"/>
    </row>
    <row r="25" spans="1:43">
      <c r="A25" s="150">
        <f t="shared" si="3"/>
        <v>43820</v>
      </c>
      <c r="B25" s="136">
        <f t="shared" si="4"/>
        <v>53.26</v>
      </c>
      <c r="C25" s="1259">
        <v>52.674999999999997</v>
      </c>
      <c r="D25" s="1305">
        <v>130.72800000000001</v>
      </c>
      <c r="E25" s="137">
        <f t="shared" si="0"/>
        <v>131.31299999999999</v>
      </c>
      <c r="F25" s="282">
        <f t="shared" si="5"/>
        <v>71.606999999999999</v>
      </c>
      <c r="G25" s="1197">
        <v>71.147999999999996</v>
      </c>
      <c r="H25" s="1294">
        <v>326.86799999999999</v>
      </c>
      <c r="I25" s="138">
        <f t="shared" si="1"/>
        <v>327.327</v>
      </c>
      <c r="J25" s="139" t="str">
        <f t="shared" si="2"/>
        <v>ok</v>
      </c>
      <c r="K25" s="319"/>
      <c r="L25" s="160"/>
      <c r="M25" s="141"/>
      <c r="N25" s="139"/>
      <c r="O25" s="542"/>
      <c r="P25" s="119"/>
      <c r="Q25" s="144"/>
      <c r="R25" s="107"/>
      <c r="S25" s="48"/>
      <c r="T25" s="145"/>
      <c r="U25" s="146"/>
      <c r="V25" s="140"/>
      <c r="W25" s="140"/>
      <c r="X25" s="148"/>
      <c r="Y25" s="149"/>
      <c r="Z25" s="143"/>
      <c r="AA25" s="144"/>
      <c r="AB25" s="107"/>
      <c r="AC25" s="107"/>
      <c r="AD25" s="146"/>
    </row>
    <row r="26" spans="1:43">
      <c r="A26" s="150">
        <f t="shared" si="3"/>
        <v>43821</v>
      </c>
      <c r="B26" s="136">
        <f t="shared" si="4"/>
        <v>52.674999999999997</v>
      </c>
      <c r="C26" s="1259">
        <v>56.85</v>
      </c>
      <c r="D26" s="1305">
        <v>133.23599999999999</v>
      </c>
      <c r="E26" s="137">
        <f t="shared" si="0"/>
        <v>129.06100000000001</v>
      </c>
      <c r="F26" s="282">
        <f t="shared" si="5"/>
        <v>71.147999999999996</v>
      </c>
      <c r="G26" s="1197">
        <v>70.956000000000003</v>
      </c>
      <c r="H26" s="1295">
        <v>296.012</v>
      </c>
      <c r="I26" s="138">
        <f>F26+H26-G26</f>
        <v>296.20399999999995</v>
      </c>
      <c r="J26" s="139" t="str">
        <f t="shared" si="2"/>
        <v>ok</v>
      </c>
      <c r="K26" s="319"/>
      <c r="L26" s="160"/>
      <c r="M26" s="141"/>
      <c r="N26" s="139"/>
      <c r="O26" s="542"/>
      <c r="P26" s="119"/>
      <c r="Q26" s="144"/>
      <c r="R26" s="107"/>
      <c r="S26" s="48"/>
      <c r="T26" s="145"/>
      <c r="U26" s="146"/>
      <c r="V26" s="140"/>
      <c r="W26" s="140"/>
      <c r="X26" s="148"/>
      <c r="Y26" s="149"/>
      <c r="Z26" s="143"/>
      <c r="AA26" s="144"/>
      <c r="AB26" s="107"/>
      <c r="AC26" s="107"/>
      <c r="AD26" s="146"/>
    </row>
    <row r="27" spans="1:43">
      <c r="A27" s="150">
        <f t="shared" si="3"/>
        <v>43822</v>
      </c>
      <c r="B27" s="136">
        <f t="shared" si="4"/>
        <v>56.85</v>
      </c>
      <c r="C27" s="1259">
        <v>65.38</v>
      </c>
      <c r="D27" s="1305">
        <v>115.128</v>
      </c>
      <c r="E27" s="137">
        <f t="shared" si="0"/>
        <v>106.59800000000001</v>
      </c>
      <c r="F27" s="282">
        <f t="shared" si="5"/>
        <v>70.956000000000003</v>
      </c>
      <c r="G27" s="1197">
        <v>71.234999999999999</v>
      </c>
      <c r="H27" s="1294">
        <v>294.74</v>
      </c>
      <c r="I27" s="138">
        <f t="shared" si="1"/>
        <v>294.46100000000001</v>
      </c>
      <c r="J27" s="139" t="str">
        <f t="shared" si="2"/>
        <v>ok</v>
      </c>
      <c r="K27" s="319"/>
      <c r="L27" s="160"/>
      <c r="M27" s="141"/>
      <c r="N27" s="139"/>
      <c r="O27" s="542"/>
      <c r="P27" s="119"/>
      <c r="Q27" s="144"/>
      <c r="R27" s="107"/>
      <c r="S27" s="48"/>
      <c r="T27" s="145"/>
      <c r="U27" s="146"/>
      <c r="V27" s="140"/>
      <c r="W27" s="140"/>
      <c r="X27" s="148"/>
      <c r="Y27" s="149"/>
      <c r="Z27" s="143"/>
      <c r="AA27" s="144"/>
      <c r="AB27" s="107"/>
      <c r="AC27" s="107"/>
      <c r="AD27" s="146"/>
    </row>
    <row r="28" spans="1:43">
      <c r="A28" s="150">
        <f t="shared" si="3"/>
        <v>43823</v>
      </c>
      <c r="B28" s="136">
        <f t="shared" si="4"/>
        <v>65.38</v>
      </c>
      <c r="C28" s="1259">
        <v>79.010000000000005</v>
      </c>
      <c r="D28" s="1305">
        <v>14.56</v>
      </c>
      <c r="E28" s="137">
        <f t="shared" si="0"/>
        <v>0.92999999999999261</v>
      </c>
      <c r="F28" s="282">
        <f t="shared" si="5"/>
        <v>71.234999999999999</v>
      </c>
      <c r="G28" s="1197">
        <v>70.245999999999995</v>
      </c>
      <c r="H28" s="1294">
        <v>23.628</v>
      </c>
      <c r="I28" s="138">
        <f t="shared" si="1"/>
        <v>24.617000000000004</v>
      </c>
      <c r="J28" s="139" t="str">
        <f t="shared" si="2"/>
        <v>ok</v>
      </c>
      <c r="K28" s="319"/>
      <c r="L28" s="160"/>
      <c r="M28" s="141"/>
      <c r="N28" s="139"/>
      <c r="O28" s="542"/>
      <c r="P28" s="119"/>
      <c r="Q28" s="144"/>
      <c r="R28" s="107"/>
      <c r="S28" s="48"/>
      <c r="T28" s="145"/>
      <c r="U28" s="146"/>
      <c r="V28" s="140"/>
      <c r="W28" s="140"/>
      <c r="X28" s="148"/>
      <c r="Y28" s="149"/>
      <c r="Z28" s="143"/>
      <c r="AA28" s="144"/>
      <c r="AB28" s="107"/>
      <c r="AC28" s="107"/>
      <c r="AD28" s="146"/>
    </row>
    <row r="29" spans="1:43">
      <c r="A29" s="150">
        <f t="shared" si="3"/>
        <v>43824</v>
      </c>
      <c r="B29" s="136">
        <f t="shared" si="4"/>
        <v>79.010000000000005</v>
      </c>
      <c r="C29" s="1259">
        <v>65.971999999999994</v>
      </c>
      <c r="D29" s="1305">
        <v>38.064</v>
      </c>
      <c r="E29" s="137">
        <f t="shared" si="0"/>
        <v>51.102000000000018</v>
      </c>
      <c r="F29" s="282">
        <f t="shared" si="5"/>
        <v>70.245999999999995</v>
      </c>
      <c r="G29" s="1197">
        <v>70.316000000000003</v>
      </c>
      <c r="H29" s="1294">
        <v>216.572</v>
      </c>
      <c r="I29" s="138">
        <f t="shared" si="1"/>
        <v>216.50199999999998</v>
      </c>
      <c r="J29" s="139" t="str">
        <f t="shared" si="2"/>
        <v>ok</v>
      </c>
      <c r="K29" s="319"/>
      <c r="M29" s="141"/>
      <c r="N29" s="139"/>
      <c r="O29" s="542"/>
      <c r="P29" s="119"/>
      <c r="Q29" s="144"/>
      <c r="R29" s="107"/>
      <c r="S29" s="48"/>
      <c r="T29" s="145"/>
      <c r="U29" s="146"/>
      <c r="V29" s="140"/>
      <c r="W29" s="140"/>
      <c r="X29" s="148"/>
      <c r="Y29" s="149"/>
      <c r="Z29" s="143"/>
      <c r="AA29" s="144"/>
      <c r="AB29" s="107"/>
      <c r="AC29" s="48"/>
      <c r="AD29" s="146"/>
      <c r="AE29" s="152"/>
      <c r="AF29" s="152"/>
      <c r="AG29" s="152"/>
      <c r="AH29" s="152"/>
      <c r="AI29" s="152"/>
      <c r="AJ29" s="152"/>
      <c r="AK29" s="152"/>
      <c r="AL29" s="152"/>
      <c r="AM29" s="152"/>
      <c r="AN29" s="152"/>
      <c r="AO29" s="152"/>
      <c r="AP29" s="152"/>
      <c r="AQ29" s="152"/>
    </row>
    <row r="30" spans="1:43">
      <c r="A30" s="150">
        <f t="shared" si="3"/>
        <v>43825</v>
      </c>
      <c r="B30" s="136">
        <f t="shared" si="4"/>
        <v>65.971999999999994</v>
      </c>
      <c r="C30" s="1259">
        <v>53.155999999999999</v>
      </c>
      <c r="D30" s="1305">
        <v>111.13200000000001</v>
      </c>
      <c r="E30" s="137">
        <f t="shared" si="0"/>
        <v>123.94799999999998</v>
      </c>
      <c r="F30" s="282">
        <f t="shared" si="5"/>
        <v>70.316000000000003</v>
      </c>
      <c r="G30" s="1197">
        <v>71.834000000000003</v>
      </c>
      <c r="H30" s="1294">
        <v>394.536</v>
      </c>
      <c r="I30" s="138">
        <f t="shared" si="1"/>
        <v>393.01799999999997</v>
      </c>
      <c r="J30" s="139" t="str">
        <f t="shared" si="2"/>
        <v>ok</v>
      </c>
      <c r="K30" s="319"/>
      <c r="L30" s="160"/>
      <c r="M30" s="141"/>
      <c r="N30" s="139"/>
      <c r="O30" s="542"/>
      <c r="P30" s="119"/>
      <c r="Q30" s="144"/>
      <c r="R30" s="107"/>
      <c r="S30" s="48"/>
      <c r="T30" s="145"/>
      <c r="U30" s="146"/>
      <c r="V30" s="140"/>
      <c r="W30" s="140"/>
      <c r="X30" s="148"/>
      <c r="Y30" s="149"/>
      <c r="Z30" s="143"/>
      <c r="AA30" s="144"/>
      <c r="AB30" s="107"/>
      <c r="AC30" s="48"/>
      <c r="AD30" s="146"/>
      <c r="AE30" s="152"/>
      <c r="AF30" s="152"/>
      <c r="AG30" s="152"/>
      <c r="AH30" s="152"/>
      <c r="AI30" s="152"/>
      <c r="AJ30" s="152"/>
      <c r="AK30" s="152"/>
      <c r="AL30" s="152"/>
      <c r="AM30" s="152"/>
      <c r="AN30" s="152"/>
      <c r="AO30" s="152"/>
      <c r="AP30" s="152"/>
      <c r="AQ30" s="152"/>
    </row>
    <row r="31" spans="1:43">
      <c r="A31" s="150">
        <f t="shared" si="3"/>
        <v>43826</v>
      </c>
      <c r="B31" s="136">
        <f t="shared" si="4"/>
        <v>53.155999999999999</v>
      </c>
      <c r="C31" s="1259">
        <v>66.459000000000003</v>
      </c>
      <c r="D31" s="1305">
        <v>121.696</v>
      </c>
      <c r="E31" s="137">
        <f t="shared" si="0"/>
        <v>108.393</v>
      </c>
      <c r="F31" s="282">
        <f t="shared" si="5"/>
        <v>71.834000000000003</v>
      </c>
      <c r="G31" s="1197">
        <v>71.366</v>
      </c>
      <c r="H31" s="1294">
        <v>295.08</v>
      </c>
      <c r="I31" s="138">
        <f t="shared" si="1"/>
        <v>295.548</v>
      </c>
      <c r="J31" s="139" t="str">
        <f t="shared" si="2"/>
        <v>ok</v>
      </c>
      <c r="K31" s="319"/>
      <c r="L31" s="208"/>
      <c r="M31" s="141"/>
      <c r="N31" s="139"/>
      <c r="O31" s="542"/>
      <c r="P31" s="119"/>
      <c r="Q31" s="144"/>
      <c r="R31" s="107"/>
      <c r="S31" s="48"/>
      <c r="T31" s="145"/>
      <c r="U31" s="146"/>
      <c r="V31" s="140"/>
      <c r="W31" s="140"/>
      <c r="X31" s="148"/>
      <c r="Y31" s="149"/>
      <c r="Z31" s="143"/>
      <c r="AA31" s="144"/>
      <c r="AB31" s="107"/>
      <c r="AC31" s="48"/>
      <c r="AD31" s="146"/>
    </row>
    <row r="32" spans="1:43">
      <c r="A32" s="150">
        <f t="shared" si="3"/>
        <v>43827</v>
      </c>
      <c r="B32" s="136">
        <f t="shared" si="4"/>
        <v>66.459000000000003</v>
      </c>
      <c r="C32" s="1259">
        <v>65.659000000000006</v>
      </c>
      <c r="D32" s="1305">
        <v>106.35599999999999</v>
      </c>
      <c r="E32" s="137">
        <f t="shared" si="0"/>
        <v>107.15599999999999</v>
      </c>
      <c r="F32" s="282">
        <f t="shared" si="5"/>
        <v>71.366</v>
      </c>
      <c r="G32" s="1197">
        <v>70.837999999999994</v>
      </c>
      <c r="H32" s="1294">
        <v>343.392</v>
      </c>
      <c r="I32" s="138">
        <f t="shared" si="1"/>
        <v>343.91999999999996</v>
      </c>
      <c r="J32" s="139" t="str">
        <f t="shared" si="2"/>
        <v>ok</v>
      </c>
      <c r="K32" s="319"/>
      <c r="L32" s="208"/>
      <c r="M32" s="141"/>
      <c r="N32" s="139"/>
      <c r="O32" s="542"/>
      <c r="P32" s="119"/>
      <c r="Q32" s="144"/>
      <c r="R32" s="107"/>
      <c r="S32" s="48"/>
      <c r="T32" s="145"/>
      <c r="U32" s="146"/>
      <c r="V32" s="140"/>
      <c r="W32" s="140"/>
      <c r="X32" s="148"/>
      <c r="Y32" s="149"/>
      <c r="Z32" s="143"/>
      <c r="AA32" s="144"/>
      <c r="AB32" s="107"/>
      <c r="AC32" s="48"/>
      <c r="AD32" s="146"/>
    </row>
    <row r="33" spans="1:30" s="295" customFormat="1">
      <c r="A33" s="150">
        <f t="shared" si="3"/>
        <v>43828</v>
      </c>
      <c r="B33" s="733">
        <f t="shared" si="4"/>
        <v>65.659000000000006</v>
      </c>
      <c r="C33" s="1259">
        <v>61.505000000000003</v>
      </c>
      <c r="D33" s="1305">
        <v>102.652</v>
      </c>
      <c r="E33" s="137">
        <f t="shared" si="0"/>
        <v>106.80600000000001</v>
      </c>
      <c r="F33" s="734">
        <f t="shared" si="5"/>
        <v>70.837999999999994</v>
      </c>
      <c r="G33" s="1197">
        <v>71.305000000000007</v>
      </c>
      <c r="H33" s="1296">
        <v>310.37599999999998</v>
      </c>
      <c r="I33" s="138">
        <f t="shared" si="1"/>
        <v>309.90899999999993</v>
      </c>
      <c r="J33" s="139" t="str">
        <f t="shared" si="2"/>
        <v>ok</v>
      </c>
      <c r="K33" s="319"/>
      <c r="L33" s="208"/>
      <c r="M33" s="552"/>
      <c r="N33" s="541"/>
      <c r="O33" s="553"/>
      <c r="P33" s="554"/>
      <c r="Q33" s="363"/>
      <c r="R33" s="364"/>
      <c r="S33" s="307"/>
      <c r="T33" s="538"/>
      <c r="U33" s="539"/>
      <c r="V33" s="540"/>
      <c r="W33" s="540"/>
      <c r="X33" s="539"/>
      <c r="Y33" s="365"/>
      <c r="Z33" s="537"/>
      <c r="AA33" s="363"/>
      <c r="AB33" s="364"/>
      <c r="AC33" s="364"/>
      <c r="AD33" s="539"/>
    </row>
    <row r="34" spans="1:30" s="295" customFormat="1">
      <c r="A34" s="150">
        <f t="shared" si="3"/>
        <v>43829</v>
      </c>
      <c r="B34" s="733">
        <f t="shared" si="4"/>
        <v>61.505000000000003</v>
      </c>
      <c r="C34" s="1259">
        <v>61.061999999999998</v>
      </c>
      <c r="D34" s="1305">
        <v>104.804</v>
      </c>
      <c r="E34" s="137">
        <f t="shared" si="0"/>
        <v>105.247</v>
      </c>
      <c r="F34" s="734">
        <f t="shared" si="5"/>
        <v>71.305000000000007</v>
      </c>
      <c r="G34" s="1197">
        <v>72.004000000000005</v>
      </c>
      <c r="H34" s="1296">
        <v>332.11599999999999</v>
      </c>
      <c r="I34" s="138">
        <f t="shared" si="1"/>
        <v>331.41699999999997</v>
      </c>
      <c r="J34" s="139" t="str">
        <f t="shared" si="2"/>
        <v>ok</v>
      </c>
      <c r="K34" s="319"/>
      <c r="L34" s="208"/>
      <c r="M34" s="552"/>
      <c r="N34" s="541"/>
      <c r="O34" s="553"/>
      <c r="P34" s="554"/>
      <c r="Q34" s="363"/>
      <c r="R34" s="364"/>
      <c r="S34" s="307"/>
      <c r="T34" s="538"/>
      <c r="U34" s="539"/>
      <c r="V34" s="540"/>
      <c r="W34" s="540"/>
      <c r="X34" s="539"/>
      <c r="Y34" s="365"/>
      <c r="Z34" s="537"/>
      <c r="AA34" s="363"/>
      <c r="AB34" s="364"/>
      <c r="AC34" s="364"/>
      <c r="AD34" s="539"/>
    </row>
    <row r="35" spans="1:30" s="295" customFormat="1" outlineLevel="1">
      <c r="A35" s="150">
        <f t="shared" si="3"/>
        <v>43830</v>
      </c>
      <c r="B35" s="733">
        <f t="shared" si="4"/>
        <v>61.061999999999998</v>
      </c>
      <c r="C35" s="1259">
        <v>55.512999999999998</v>
      </c>
      <c r="D35" s="1305">
        <v>104.8</v>
      </c>
      <c r="E35" s="137">
        <f t="shared" si="0"/>
        <v>110.34899999999999</v>
      </c>
      <c r="F35" s="734">
        <f t="shared" si="5"/>
        <v>72.004000000000005</v>
      </c>
      <c r="G35" s="1197">
        <v>72.010999999999996</v>
      </c>
      <c r="H35" s="1296">
        <v>331.8</v>
      </c>
      <c r="I35" s="138">
        <f t="shared" si="1"/>
        <v>331.79300000000001</v>
      </c>
      <c r="J35" s="139" t="str">
        <f t="shared" si="2"/>
        <v>ok</v>
      </c>
      <c r="K35" s="319"/>
      <c r="L35" s="208"/>
      <c r="M35" s="552"/>
      <c r="N35" s="541"/>
      <c r="O35" s="553"/>
      <c r="P35" s="554"/>
      <c r="Q35" s="363"/>
      <c r="R35" s="364"/>
      <c r="S35" s="307"/>
      <c r="T35" s="538"/>
      <c r="U35" s="539"/>
      <c r="V35" s="540"/>
      <c r="W35" s="746"/>
      <c r="X35" s="539"/>
      <c r="Y35" s="365"/>
      <c r="Z35" s="537"/>
      <c r="AA35" s="363"/>
      <c r="AB35" s="364"/>
      <c r="AC35" s="307"/>
      <c r="AD35" s="539"/>
    </row>
    <row r="36" spans="1:30" ht="22.7" customHeight="1">
      <c r="B36" s="153"/>
      <c r="C36" s="153"/>
      <c r="D36" s="154">
        <f>IF(DAY($A$35)=31,SUM(D5:D35),IF(DAY($A$35)=1,SUM(D5:D34),IF(DAY($A$35)=2,SUM(D5:D33),SUM(D5:D32))))</f>
        <v>3481.5639999999994</v>
      </c>
      <c r="E36" s="154">
        <f>IF(DAY($A$35)=31,SUM(E5:E35),IF(DAY($A$35)=1,SUM(E5:E34),IF(DAY($A$35)=2,SUM(E5:E33),SUM(E5:E32))))</f>
        <v>3481.8310000000001</v>
      </c>
      <c r="F36" s="155"/>
      <c r="G36" s="1195"/>
      <c r="H36" s="154">
        <f>IF(DAY($A$35)=31,SUM(H5:H35),IF(DAY($A$35)=1,SUM(H5:H34),IF(DAY($A$35)=2,SUM(H5:H33),SUM(H5:H32))))</f>
        <v>10575.352000000001</v>
      </c>
      <c r="I36" s="154">
        <f>IF(DAY($A$35)=31,SUM(I5:I35),IF(DAY($A$35)=1,SUM(I5:I34),IF(DAY($A$35)=2,SUM(I5:I33),SUM(I5:I32))))</f>
        <v>10958.544</v>
      </c>
      <c r="J36" s="139" t="str">
        <f>IF(C35=B5,"Not Ok","ok")</f>
        <v>ok</v>
      </c>
      <c r="K36" s="139" t="str">
        <f>IF(G35=F5,"Not Ok","ok")</f>
        <v>ok</v>
      </c>
      <c r="L36" s="48"/>
      <c r="M36" s="156"/>
      <c r="N36" s="142"/>
      <c r="O36" s="143"/>
      <c r="P36" s="119"/>
      <c r="Q36" s="144"/>
      <c r="R36" s="107"/>
      <c r="S36" s="48"/>
      <c r="T36" s="145"/>
      <c r="U36" s="146"/>
      <c r="V36" s="140"/>
      <c r="W36" s="147"/>
      <c r="X36" s="148"/>
      <c r="Y36" s="149"/>
      <c r="Z36" s="143"/>
      <c r="AA36" s="143"/>
      <c r="AB36" s="107"/>
      <c r="AC36" s="143"/>
      <c r="AD36" s="146"/>
    </row>
    <row r="37" spans="1:30" ht="17.25" customHeight="1">
      <c r="B37" s="153"/>
      <c r="D37" s="660">
        <f>SUM(D5:D35)</f>
        <v>3481.5639999999994</v>
      </c>
      <c r="E37" s="361"/>
      <c r="F37" s="661" t="s">
        <v>422</v>
      </c>
      <c r="G37" s="157"/>
      <c r="H37" s="660">
        <f>SUM(H5:H35)</f>
        <v>10575.352000000001</v>
      </c>
      <c r="I37" s="1542"/>
      <c r="J37" s="48"/>
      <c r="K37" s="319"/>
      <c r="L37" s="48"/>
      <c r="M37" s="156"/>
      <c r="N37" s="142"/>
      <c r="O37" s="143"/>
      <c r="P37" s="119"/>
      <c r="Q37" s="107"/>
      <c r="R37" s="107"/>
      <c r="S37" s="48"/>
      <c r="T37" s="145"/>
      <c r="U37" s="146"/>
      <c r="V37" s="146"/>
      <c r="W37" s="146"/>
      <c r="X37" s="146"/>
      <c r="Y37" s="149"/>
      <c r="Z37" s="143"/>
      <c r="AA37" s="144"/>
      <c r="AB37" s="107"/>
      <c r="AC37" s="48"/>
      <c r="AD37" s="146"/>
    </row>
    <row r="38" spans="1:30">
      <c r="B38" s="153" t="s">
        <v>121</v>
      </c>
      <c r="C38" s="153"/>
      <c r="D38" s="159">
        <f>B5</f>
        <v>55.78</v>
      </c>
      <c r="E38" s="160"/>
      <c r="F38" s="153" t="s">
        <v>121</v>
      </c>
      <c r="G38" s="159">
        <f>F5</f>
        <v>455.20299999999997</v>
      </c>
      <c r="H38" s="1517"/>
      <c r="I38" s="1542"/>
      <c r="J38" s="376"/>
      <c r="K38" s="319"/>
      <c r="L38" s="151"/>
      <c r="M38" s="151"/>
      <c r="O38" s="161"/>
      <c r="P38" s="162"/>
      <c r="Q38" s="161"/>
      <c r="W38" s="151"/>
      <c r="AA38" s="161"/>
    </row>
    <row r="39" spans="1:30">
      <c r="B39" s="153" t="s">
        <v>122</v>
      </c>
      <c r="C39" s="153"/>
      <c r="D39" s="159">
        <f>D36</f>
        <v>3481.5639999999994</v>
      </c>
      <c r="F39" s="153" t="s">
        <v>122</v>
      </c>
      <c r="G39" s="163">
        <f>H36</f>
        <v>10575.352000000001</v>
      </c>
      <c r="H39" s="164"/>
      <c r="I39" s="158"/>
      <c r="J39" s="376"/>
      <c r="K39" s="319"/>
      <c r="L39" s="151"/>
      <c r="M39" s="151"/>
      <c r="N39" s="151"/>
      <c r="O39" s="161"/>
      <c r="P39" s="162"/>
      <c r="Q39" s="161"/>
      <c r="R39" s="146"/>
      <c r="S39" s="166"/>
      <c r="T39" s="166"/>
      <c r="V39" s="167"/>
      <c r="W39" s="151"/>
      <c r="Z39" s="168"/>
      <c r="AA39" s="151"/>
    </row>
    <row r="40" spans="1:30">
      <c r="B40" s="153" t="s">
        <v>123</v>
      </c>
      <c r="C40" s="153"/>
      <c r="D40" s="159">
        <f>D38+D39</f>
        <v>3537.3439999999996</v>
      </c>
      <c r="F40" s="153" t="s">
        <v>123</v>
      </c>
      <c r="G40" s="169">
        <f>G38+G39</f>
        <v>11030.555</v>
      </c>
      <c r="H40" s="170"/>
      <c r="I40" s="1542"/>
      <c r="J40" s="1256"/>
      <c r="K40" s="319"/>
      <c r="L40" s="171"/>
      <c r="M40" s="156"/>
      <c r="N40" s="171"/>
      <c r="O40" s="156"/>
      <c r="P40" s="171"/>
      <c r="Q40" s="161"/>
      <c r="R40" s="146"/>
      <c r="S40" s="166"/>
      <c r="T40" s="166"/>
      <c r="W40" s="113"/>
      <c r="X40" s="151"/>
      <c r="Y40"/>
      <c r="Z40"/>
      <c r="AD40"/>
    </row>
    <row r="41" spans="1:30">
      <c r="B41" s="153" t="s">
        <v>124</v>
      </c>
      <c r="C41" s="153"/>
      <c r="D41" s="172">
        <f>E36</f>
        <v>3481.8310000000001</v>
      </c>
      <c r="F41" s="153" t="s">
        <v>124</v>
      </c>
      <c r="G41" s="163">
        <f>I36</f>
        <v>10958.544</v>
      </c>
      <c r="H41" s="1529"/>
      <c r="I41" s="158"/>
      <c r="J41" s="167"/>
      <c r="K41" s="319"/>
      <c r="L41" s="142"/>
      <c r="M41" s="156"/>
      <c r="N41" s="171"/>
      <c r="O41" s="146"/>
      <c r="P41" s="146"/>
      <c r="Q41" s="161"/>
      <c r="R41" s="146"/>
      <c r="S41" s="166"/>
      <c r="T41" s="166"/>
      <c r="W41" s="113"/>
      <c r="X41" s="151"/>
      <c r="Y41"/>
      <c r="Z41"/>
      <c r="AD41"/>
    </row>
    <row r="42" spans="1:30" ht="15.75">
      <c r="B42" s="153" t="s">
        <v>125</v>
      </c>
      <c r="C42" s="153"/>
      <c r="D42" s="173">
        <f>D40-D41</f>
        <v>55.512999999999465</v>
      </c>
      <c r="F42" s="153" t="s">
        <v>125</v>
      </c>
      <c r="G42" s="173">
        <f>G40-G41</f>
        <v>72.011000000000422</v>
      </c>
      <c r="H42" s="174"/>
      <c r="I42" s="165"/>
      <c r="J42" s="151"/>
      <c r="K42" s="319"/>
      <c r="L42" s="142"/>
      <c r="M42" s="156"/>
      <c r="N42" s="175"/>
      <c r="O42" s="146"/>
      <c r="P42" s="146"/>
      <c r="Q42" s="176"/>
      <c r="R42" s="177"/>
      <c r="S42" s="166"/>
      <c r="T42" s="166"/>
      <c r="U42" s="34"/>
      <c r="W42" s="113"/>
      <c r="X42" s="151"/>
      <c r="Y42"/>
      <c r="Z42"/>
      <c r="AD42"/>
    </row>
    <row r="43" spans="1:30" ht="15.75">
      <c r="B43" s="153"/>
      <c r="C43" s="153"/>
      <c r="D43" s="178"/>
      <c r="F43" s="165"/>
      <c r="G43" s="165"/>
      <c r="H43" s="179"/>
      <c r="I43" s="165"/>
      <c r="L43" s="142"/>
      <c r="M43" s="156"/>
      <c r="N43" s="175"/>
      <c r="O43" s="146"/>
      <c r="P43" s="146"/>
      <c r="Q43" s="176"/>
      <c r="R43" s="177"/>
      <c r="S43" s="166"/>
      <c r="T43" s="166"/>
      <c r="W43" s="113"/>
      <c r="X43" s="180"/>
      <c r="Y43" s="160"/>
      <c r="Z43"/>
      <c r="AD43"/>
    </row>
    <row r="44" spans="1:30" ht="15.75">
      <c r="B44" s="153"/>
      <c r="C44" s="153"/>
      <c r="D44" s="178"/>
      <c r="E44" s="181"/>
      <c r="F44" s="165"/>
      <c r="G44" s="165"/>
      <c r="H44" s="165"/>
      <c r="I44" s="165"/>
      <c r="L44" s="142"/>
      <c r="M44" s="156"/>
      <c r="N44" s="175"/>
      <c r="O44" s="146"/>
      <c r="P44" s="146"/>
      <c r="Q44" s="176"/>
      <c r="R44" s="177"/>
      <c r="S44" s="166"/>
      <c r="T44" s="166"/>
      <c r="W44" s="113"/>
      <c r="X44" s="180"/>
      <c r="Y44" s="160"/>
      <c r="Z44"/>
      <c r="AD44"/>
    </row>
    <row r="45" spans="1:30" ht="15.75">
      <c r="B45" s="153"/>
      <c r="C45" s="153"/>
      <c r="D45" s="178"/>
      <c r="E45" s="182"/>
      <c r="F45" s="183"/>
      <c r="G45" s="153"/>
      <c r="H45" s="153"/>
      <c r="I45" s="153"/>
      <c r="J45" s="184"/>
      <c r="K45" s="185"/>
      <c r="L45" s="142"/>
      <c r="M45" s="156"/>
      <c r="N45" s="175"/>
      <c r="O45" s="146"/>
      <c r="P45" s="146"/>
      <c r="Q45" s="176"/>
      <c r="R45" s="177"/>
      <c r="S45" s="166"/>
      <c r="T45" s="166"/>
      <c r="W45" s="113"/>
      <c r="X45" s="180"/>
      <c r="Y45" s="160"/>
      <c r="Z45"/>
      <c r="AD45"/>
    </row>
    <row r="46" spans="1:30" ht="15.75">
      <c r="B46" s="153"/>
      <c r="C46" s="153"/>
      <c r="D46" s="178"/>
      <c r="E46" s="182"/>
      <c r="F46" s="183"/>
      <c r="G46" s="153"/>
      <c r="H46" s="153"/>
      <c r="I46" s="153"/>
      <c r="J46" s="48"/>
      <c r="K46" s="186"/>
      <c r="L46" s="142"/>
      <c r="M46" s="156"/>
      <c r="N46" s="175"/>
      <c r="O46" s="146"/>
      <c r="P46" s="146"/>
      <c r="Q46" s="176"/>
      <c r="R46" s="177"/>
      <c r="S46" s="166"/>
      <c r="T46" s="187"/>
      <c r="W46" s="113"/>
      <c r="X46" s="180"/>
      <c r="Y46" s="160"/>
      <c r="Z46"/>
      <c r="AD46"/>
    </row>
    <row r="47" spans="1:30" ht="15.75">
      <c r="B47" s="153"/>
      <c r="C47" s="153"/>
      <c r="D47" s="1667"/>
      <c r="E47" s="182"/>
      <c r="F47" s="153"/>
      <c r="G47" s="153"/>
      <c r="H47" s="153"/>
      <c r="I47" s="153"/>
      <c r="J47" s="48"/>
      <c r="K47" s="186"/>
      <c r="L47" s="142"/>
      <c r="M47" s="159"/>
      <c r="N47" s="175"/>
      <c r="O47" s="146"/>
      <c r="P47" s="146"/>
      <c r="Q47" s="176"/>
      <c r="R47" s="177"/>
      <c r="S47" s="166"/>
      <c r="T47" s="188"/>
      <c r="W47" s="110"/>
      <c r="X47" s="180"/>
      <c r="Y47" s="160"/>
      <c r="Z47"/>
      <c r="AD47"/>
    </row>
    <row r="48" spans="1:30" ht="15.75">
      <c r="B48" s="153"/>
      <c r="C48" s="153"/>
      <c r="D48" s="1667"/>
      <c r="E48" s="182"/>
      <c r="F48" s="153"/>
      <c r="G48" s="153"/>
      <c r="H48" s="153"/>
      <c r="I48" s="153"/>
      <c r="J48" s="48"/>
      <c r="K48" s="186"/>
      <c r="L48" s="142"/>
      <c r="M48" s="159"/>
      <c r="N48" s="175"/>
      <c r="O48" s="146"/>
      <c r="P48" s="146"/>
      <c r="Q48" s="176"/>
      <c r="R48" s="177"/>
      <c r="S48" s="166"/>
      <c r="T48" s="166"/>
      <c r="W48" s="110"/>
      <c r="X48" s="180"/>
      <c r="Y48" s="160"/>
      <c r="Z48"/>
      <c r="AD48"/>
    </row>
    <row r="49" spans="2:30" ht="15.75">
      <c r="B49" s="153"/>
      <c r="C49" s="153"/>
      <c r="D49" s="189"/>
      <c r="E49" s="189"/>
      <c r="F49" s="153"/>
      <c r="G49" s="153"/>
      <c r="H49" s="153"/>
      <c r="I49" s="153"/>
      <c r="J49" s="48"/>
      <c r="K49" s="190"/>
      <c r="L49" s="142"/>
      <c r="M49" s="159"/>
      <c r="N49" s="175"/>
      <c r="O49" s="146"/>
      <c r="P49" s="146"/>
      <c r="Q49" s="176"/>
      <c r="R49" s="177"/>
      <c r="S49" s="166"/>
      <c r="T49" s="166"/>
      <c r="W49" s="110"/>
      <c r="X49" s="180"/>
      <c r="Y49" s="160"/>
      <c r="Z49"/>
      <c r="AD49"/>
    </row>
    <row r="50" spans="2:30" ht="15.75">
      <c r="B50" s="153"/>
      <c r="C50" s="153"/>
      <c r="D50" s="189"/>
      <c r="E50" s="189"/>
      <c r="F50" s="153"/>
      <c r="G50" s="153"/>
      <c r="H50" s="153"/>
      <c r="I50" s="153"/>
      <c r="J50" s="48"/>
      <c r="K50" s="190"/>
      <c r="L50" s="142"/>
      <c r="M50" s="156"/>
      <c r="N50" s="175"/>
      <c r="O50" s="146"/>
      <c r="P50" s="146"/>
      <c r="Q50" s="176"/>
      <c r="R50" s="177"/>
      <c r="S50" s="166"/>
      <c r="T50" s="166"/>
      <c r="W50" s="110"/>
      <c r="X50" s="180"/>
      <c r="Y50" s="160"/>
      <c r="Z50"/>
      <c r="AD50"/>
    </row>
    <row r="51" spans="2:30" ht="15.75">
      <c r="B51" s="153"/>
      <c r="C51" s="153"/>
      <c r="D51" s="153"/>
      <c r="E51" s="153"/>
      <c r="F51" s="153"/>
      <c r="G51" s="153"/>
      <c r="H51" s="153"/>
      <c r="I51" s="153"/>
      <c r="J51" s="48"/>
      <c r="K51" s="190"/>
      <c r="L51" s="142"/>
      <c r="M51" s="156"/>
      <c r="N51" s="175"/>
      <c r="O51" s="146"/>
      <c r="P51" s="146"/>
      <c r="Q51" s="176"/>
      <c r="R51" s="177"/>
      <c r="S51" s="166"/>
      <c r="T51" s="166"/>
      <c r="W51" s="110"/>
      <c r="X51" s="180"/>
      <c r="Y51" s="160"/>
      <c r="Z51"/>
      <c r="AD51"/>
    </row>
    <row r="52" spans="2:30" ht="15.75">
      <c r="B52" s="153"/>
      <c r="C52" s="153"/>
      <c r="D52" s="153"/>
      <c r="E52" s="153"/>
      <c r="F52" s="153"/>
      <c r="G52" s="153"/>
      <c r="H52" s="153"/>
      <c r="I52" s="153"/>
      <c r="J52" s="48"/>
      <c r="K52" s="190"/>
      <c r="L52" s="142"/>
      <c r="M52" s="156"/>
      <c r="N52" s="175"/>
      <c r="O52" s="146"/>
      <c r="P52" s="146"/>
      <c r="Q52" s="176"/>
      <c r="R52" s="177"/>
      <c r="S52" s="166"/>
      <c r="T52" s="166"/>
      <c r="W52" s="110"/>
      <c r="X52" s="180"/>
      <c r="Y52" s="160"/>
      <c r="Z52"/>
      <c r="AD52"/>
    </row>
    <row r="53" spans="2:30" ht="15.75">
      <c r="B53" s="153"/>
      <c r="C53" s="153"/>
      <c r="D53" s="153"/>
      <c r="E53" s="153"/>
      <c r="F53" s="153"/>
      <c r="G53" s="153"/>
      <c r="H53" s="153"/>
      <c r="I53" s="153"/>
      <c r="J53" s="48"/>
      <c r="K53" s="190"/>
      <c r="L53" s="142"/>
      <c r="M53" s="156"/>
      <c r="N53" s="175"/>
      <c r="O53" s="146"/>
      <c r="P53" s="146"/>
      <c r="Q53" s="176"/>
      <c r="R53" s="177"/>
      <c r="S53" s="166"/>
      <c r="T53" s="166"/>
      <c r="W53" s="110"/>
      <c r="X53" s="180"/>
      <c r="Y53" s="160"/>
      <c r="Z53"/>
      <c r="AD53"/>
    </row>
    <row r="54" spans="2:30" ht="15.75">
      <c r="B54" s="153"/>
      <c r="C54" s="153"/>
      <c r="D54" s="153"/>
      <c r="E54" s="153"/>
      <c r="F54" s="153"/>
      <c r="G54" s="153"/>
      <c r="H54" s="153"/>
      <c r="I54" s="153"/>
      <c r="J54" s="48"/>
      <c r="K54" s="190"/>
      <c r="L54" s="142"/>
      <c r="M54" s="156"/>
      <c r="N54" s="175"/>
      <c r="O54" s="146"/>
      <c r="P54" s="146"/>
      <c r="Q54" s="176"/>
      <c r="R54" s="177"/>
      <c r="S54" s="166"/>
      <c r="T54" s="166"/>
      <c r="W54" s="110"/>
      <c r="X54" s="180"/>
      <c r="Y54" s="160"/>
      <c r="Z54"/>
      <c r="AD54"/>
    </row>
    <row r="55" spans="2:30" ht="15.75">
      <c r="B55" s="153"/>
      <c r="C55" s="153"/>
      <c r="D55" s="153"/>
      <c r="E55" s="153"/>
      <c r="F55" s="153"/>
      <c r="G55" s="153"/>
      <c r="H55" s="153"/>
      <c r="I55" s="153"/>
      <c r="J55" s="48"/>
      <c r="K55" s="190"/>
      <c r="L55" s="142"/>
      <c r="M55" s="156"/>
      <c r="N55" s="175"/>
      <c r="O55" s="146"/>
      <c r="P55" s="146"/>
      <c r="Q55" s="176"/>
      <c r="R55" s="177"/>
      <c r="S55" s="166"/>
      <c r="T55" s="166"/>
      <c r="W55" s="110"/>
      <c r="X55" s="180"/>
      <c r="Y55" s="160"/>
      <c r="Z55"/>
      <c r="AD55"/>
    </row>
    <row r="56" spans="2:30" ht="15.75">
      <c r="B56" s="153"/>
      <c r="C56" s="153"/>
      <c r="D56" s="153"/>
      <c r="E56" s="153"/>
      <c r="F56" s="153"/>
      <c r="G56" s="153"/>
      <c r="H56" s="153"/>
      <c r="I56" s="153"/>
      <c r="J56" s="48"/>
      <c r="K56" s="190"/>
      <c r="L56" s="142"/>
      <c r="M56" s="156"/>
      <c r="N56" s="191"/>
      <c r="O56" s="146"/>
      <c r="P56" s="146"/>
      <c r="Q56" s="176"/>
      <c r="R56" s="177"/>
      <c r="S56" s="166"/>
      <c r="T56" s="166"/>
      <c r="W56" s="110"/>
      <c r="X56" s="180"/>
      <c r="Y56" s="160"/>
      <c r="Z56"/>
      <c r="AD56"/>
    </row>
    <row r="57" spans="2:30" ht="15.75">
      <c r="B57" s="153"/>
      <c r="C57" s="153"/>
      <c r="D57" s="153"/>
      <c r="E57" s="153"/>
      <c r="F57" s="153"/>
      <c r="G57" s="153"/>
      <c r="H57" s="153"/>
      <c r="I57" s="153"/>
      <c r="J57" s="48"/>
      <c r="K57" s="190"/>
      <c r="L57" s="142"/>
      <c r="M57" s="156"/>
      <c r="N57" s="191"/>
      <c r="O57" s="146"/>
      <c r="P57" s="146"/>
      <c r="Q57" s="176"/>
      <c r="R57" s="177"/>
      <c r="S57" s="166"/>
      <c r="T57" s="166"/>
      <c r="W57" s="110"/>
      <c r="X57" s="180"/>
      <c r="Y57" s="160"/>
      <c r="Z57"/>
      <c r="AD57"/>
    </row>
    <row r="58" spans="2:30" ht="15.75">
      <c r="B58" s="153"/>
      <c r="C58" s="153"/>
      <c r="D58" s="153"/>
      <c r="E58" s="153"/>
      <c r="F58" s="153"/>
      <c r="G58" s="153"/>
      <c r="H58" s="153"/>
      <c r="I58" s="153"/>
      <c r="J58" s="48"/>
      <c r="K58" s="190"/>
      <c r="L58" s="142"/>
      <c r="M58" s="156"/>
      <c r="N58" s="191"/>
      <c r="O58" s="146"/>
      <c r="P58" s="146"/>
      <c r="Q58" s="176"/>
      <c r="R58" s="177"/>
      <c r="S58" s="166"/>
      <c r="T58" s="166"/>
      <c r="W58" s="110"/>
      <c r="X58" s="180"/>
      <c r="Y58" s="160"/>
      <c r="Z58"/>
      <c r="AD58"/>
    </row>
    <row r="59" spans="2:30" ht="15.75">
      <c r="B59" s="153"/>
      <c r="C59" s="153"/>
      <c r="D59" s="153"/>
      <c r="E59" s="153"/>
      <c r="F59" s="153"/>
      <c r="G59" s="153"/>
      <c r="H59" s="153"/>
      <c r="I59" s="153"/>
      <c r="J59" s="48"/>
      <c r="K59" s="190"/>
      <c r="L59" s="142"/>
      <c r="M59" s="156"/>
      <c r="N59" s="191"/>
      <c r="O59" s="146"/>
      <c r="P59" s="146"/>
      <c r="Q59" s="176"/>
      <c r="R59" s="177"/>
      <c r="S59" s="166"/>
      <c r="T59" s="166"/>
      <c r="W59" s="110"/>
      <c r="X59" s="180"/>
      <c r="Y59" s="160"/>
      <c r="Z59"/>
      <c r="AD59"/>
    </row>
    <row r="60" spans="2:30" ht="15.75">
      <c r="B60" s="153"/>
      <c r="C60" s="153"/>
      <c r="D60" s="153"/>
      <c r="E60" s="153"/>
      <c r="F60" s="153"/>
      <c r="G60" s="153"/>
      <c r="H60" s="153"/>
      <c r="I60" s="153"/>
      <c r="J60" s="48"/>
      <c r="K60" s="190"/>
      <c r="L60" s="142"/>
      <c r="M60" s="156"/>
      <c r="N60" s="191"/>
      <c r="O60" s="146"/>
      <c r="P60" s="146"/>
      <c r="Q60" s="34"/>
      <c r="R60" s="177"/>
      <c r="S60" s="166"/>
      <c r="T60" s="166"/>
      <c r="W60" s="110"/>
      <c r="X60" s="180"/>
      <c r="Y60" s="160"/>
      <c r="Z60"/>
      <c r="AD60"/>
    </row>
    <row r="61" spans="2:30" ht="15.75">
      <c r="B61" s="153"/>
      <c r="C61" s="153"/>
      <c r="D61" s="153"/>
      <c r="E61" s="153"/>
      <c r="F61" s="153"/>
      <c r="G61" s="153"/>
      <c r="H61" s="153"/>
      <c r="I61" s="153"/>
      <c r="J61" s="48"/>
      <c r="K61" s="190"/>
      <c r="L61" s="142"/>
      <c r="M61" s="156"/>
      <c r="N61" s="191"/>
      <c r="O61" s="146"/>
      <c r="P61" s="146"/>
      <c r="Q61" s="34"/>
      <c r="R61" s="177"/>
      <c r="S61" s="166"/>
      <c r="T61" s="166"/>
      <c r="W61" s="110"/>
      <c r="X61" s="180"/>
      <c r="Y61" s="160"/>
      <c r="Z61"/>
      <c r="AD61"/>
    </row>
    <row r="62" spans="2:30" ht="15.75">
      <c r="B62" s="153"/>
      <c r="C62" s="153"/>
      <c r="D62" s="153"/>
      <c r="E62" s="153"/>
      <c r="F62" s="153"/>
      <c r="G62" s="153"/>
      <c r="H62" s="153"/>
      <c r="I62" s="153"/>
      <c r="J62" s="160"/>
      <c r="K62" s="190"/>
      <c r="L62" s="142"/>
      <c r="M62" s="156"/>
      <c r="N62" s="191"/>
      <c r="O62" s="146"/>
      <c r="P62" s="146"/>
      <c r="Q62" s="34"/>
      <c r="R62" s="177"/>
      <c r="S62" s="166"/>
      <c r="T62" s="166"/>
      <c r="W62" s="110"/>
      <c r="X62" s="180"/>
      <c r="Y62" s="160"/>
      <c r="Z62"/>
      <c r="AD62"/>
    </row>
    <row r="63" spans="2:30" ht="15.75">
      <c r="B63" s="153"/>
      <c r="C63" s="153"/>
      <c r="D63" s="153"/>
      <c r="E63" s="153"/>
      <c r="F63" s="153"/>
      <c r="G63" s="153"/>
      <c r="H63" s="153"/>
      <c r="I63" s="153"/>
      <c r="J63" s="160"/>
      <c r="K63" s="190"/>
      <c r="L63" s="142"/>
      <c r="M63" s="156"/>
      <c r="N63" s="191"/>
      <c r="O63" s="146"/>
      <c r="P63" s="146"/>
      <c r="Q63" s="34"/>
      <c r="R63" s="177"/>
      <c r="S63" s="166"/>
      <c r="T63" s="166"/>
      <c r="W63" s="110"/>
      <c r="X63" s="180"/>
      <c r="Y63" s="160"/>
      <c r="Z63"/>
      <c r="AD63"/>
    </row>
    <row r="64" spans="2:30" ht="15.75">
      <c r="B64" s="153"/>
      <c r="C64" s="153"/>
      <c r="D64" s="153"/>
      <c r="E64" s="153"/>
      <c r="F64" s="153"/>
      <c r="G64" s="153"/>
      <c r="H64" s="153"/>
      <c r="I64" s="153"/>
      <c r="J64" s="160"/>
      <c r="K64" s="190"/>
      <c r="L64" s="142"/>
      <c r="M64" s="156"/>
      <c r="N64" s="191"/>
      <c r="O64" s="146"/>
      <c r="P64" s="146"/>
      <c r="Q64" s="34"/>
      <c r="R64" s="177"/>
      <c r="S64" s="166"/>
      <c r="T64" s="166"/>
      <c r="W64" s="110"/>
      <c r="X64" s="180"/>
      <c r="Y64" s="160"/>
      <c r="Z64"/>
      <c r="AD64"/>
    </row>
    <row r="65" spans="2:30" ht="15.75">
      <c r="B65" s="153"/>
      <c r="C65" s="153"/>
      <c r="D65" s="153"/>
      <c r="E65" s="153"/>
      <c r="F65" s="153"/>
      <c r="G65" s="153"/>
      <c r="H65" s="153"/>
      <c r="I65" s="153"/>
      <c r="K65" s="190"/>
      <c r="L65" s="142"/>
      <c r="M65" s="156"/>
      <c r="N65" s="191"/>
      <c r="O65" s="146"/>
      <c r="P65" s="146"/>
      <c r="Q65" s="34"/>
      <c r="R65" s="177"/>
      <c r="S65" s="166"/>
      <c r="T65" s="166"/>
      <c r="W65" s="110"/>
      <c r="X65" s="180"/>
      <c r="Y65" s="160"/>
      <c r="Z65"/>
      <c r="AD65"/>
    </row>
    <row r="66" spans="2:30" ht="15.75">
      <c r="B66" s="153"/>
      <c r="C66" s="153"/>
      <c r="D66" s="153"/>
      <c r="E66" s="153"/>
      <c r="F66" s="153"/>
      <c r="G66" s="153"/>
      <c r="H66" s="153"/>
      <c r="I66" s="153"/>
      <c r="K66" s="190"/>
      <c r="L66" s="142"/>
      <c r="M66" s="156"/>
      <c r="N66" s="191"/>
      <c r="O66" s="146"/>
      <c r="P66" s="146"/>
      <c r="Q66" s="34"/>
      <c r="R66" s="177"/>
      <c r="S66" s="166"/>
      <c r="T66" s="166"/>
      <c r="W66" s="110"/>
      <c r="X66" s="180"/>
      <c r="Y66" s="160"/>
      <c r="Z66"/>
      <c r="AD66"/>
    </row>
    <row r="67" spans="2:30" ht="15.75">
      <c r="B67" s="153"/>
      <c r="C67" s="153"/>
      <c r="D67" s="153"/>
      <c r="E67" s="153"/>
      <c r="F67" s="153"/>
      <c r="G67" s="153"/>
      <c r="H67" s="153"/>
      <c r="I67" s="153"/>
      <c r="K67" s="190"/>
      <c r="L67" s="142"/>
      <c r="M67" s="156"/>
      <c r="N67" s="191"/>
      <c r="O67" s="146"/>
      <c r="P67" s="146"/>
      <c r="Q67" s="34"/>
      <c r="R67" s="177"/>
      <c r="S67" s="166"/>
      <c r="T67" s="166"/>
      <c r="W67" s="110"/>
      <c r="X67" s="180"/>
      <c r="Y67" s="160"/>
      <c r="Z67"/>
      <c r="AD67"/>
    </row>
    <row r="68" spans="2:30" ht="15.75">
      <c r="B68" s="153"/>
      <c r="C68" s="153"/>
      <c r="D68" s="153"/>
      <c r="E68" s="153"/>
      <c r="F68" s="153"/>
      <c r="G68" s="153"/>
      <c r="H68" s="153"/>
      <c r="I68" s="153"/>
      <c r="K68" s="190"/>
      <c r="L68" s="142"/>
      <c r="M68" s="156"/>
      <c r="N68" s="191"/>
      <c r="O68" s="146"/>
      <c r="P68" s="146"/>
      <c r="Q68" s="34"/>
      <c r="R68" s="177"/>
      <c r="S68" s="166"/>
      <c r="T68" s="166"/>
      <c r="W68" s="110"/>
      <c r="X68" s="180"/>
      <c r="Y68" s="160"/>
      <c r="Z68"/>
      <c r="AD68"/>
    </row>
    <row r="69" spans="2:30" ht="15.75">
      <c r="B69" s="153"/>
      <c r="C69" s="153"/>
      <c r="D69" s="153"/>
      <c r="E69" s="153"/>
      <c r="F69" s="153"/>
      <c r="G69" s="153"/>
      <c r="H69" s="153"/>
      <c r="I69" s="153"/>
      <c r="K69" s="190"/>
      <c r="L69" s="142"/>
      <c r="M69" s="156"/>
      <c r="N69" s="191"/>
      <c r="O69" s="146"/>
      <c r="P69" s="146"/>
      <c r="Q69" s="34"/>
      <c r="R69" s="177"/>
      <c r="S69" s="166"/>
      <c r="T69" s="166"/>
      <c r="W69" s="110"/>
      <c r="X69" s="180"/>
      <c r="Y69" s="160"/>
      <c r="Z69"/>
      <c r="AD69"/>
    </row>
    <row r="70" spans="2:30" ht="15.75">
      <c r="B70" s="153"/>
      <c r="C70" s="153"/>
      <c r="D70" s="153"/>
      <c r="E70" s="153"/>
      <c r="F70" s="153"/>
      <c r="G70" s="153"/>
      <c r="H70" s="153"/>
      <c r="I70" s="153"/>
      <c r="K70" s="190"/>
      <c r="L70" s="142"/>
      <c r="M70" s="156"/>
      <c r="N70" s="191"/>
      <c r="O70" s="146"/>
      <c r="P70" s="146"/>
      <c r="Q70" s="34"/>
      <c r="R70" s="177"/>
      <c r="S70" s="166"/>
      <c r="T70" s="166"/>
      <c r="W70" s="110"/>
      <c r="X70" s="180"/>
      <c r="Y70" s="160"/>
      <c r="Z70"/>
      <c r="AD70"/>
    </row>
    <row r="71" spans="2:30" ht="15.75">
      <c r="B71" s="153"/>
      <c r="C71" s="153"/>
      <c r="D71" s="153"/>
      <c r="E71" s="153"/>
      <c r="F71" s="153"/>
      <c r="G71" s="153"/>
      <c r="H71" s="153"/>
      <c r="I71" s="153"/>
      <c r="K71" s="190"/>
      <c r="L71" s="142"/>
      <c r="M71" s="156"/>
      <c r="N71" s="192"/>
      <c r="O71" s="146"/>
      <c r="P71" s="146"/>
      <c r="Q71" s="34"/>
      <c r="R71" s="177"/>
      <c r="W71" s="110"/>
      <c r="X71" s="180"/>
      <c r="Y71" s="160"/>
      <c r="Z71"/>
      <c r="AD71"/>
    </row>
    <row r="72" spans="2:30">
      <c r="B72" s="153"/>
      <c r="C72" s="153"/>
      <c r="D72" s="153"/>
      <c r="E72" s="153"/>
      <c r="F72" s="153"/>
      <c r="G72" s="153"/>
      <c r="H72" s="153"/>
      <c r="I72" s="153"/>
      <c r="K72" s="190"/>
      <c r="L72" s="193"/>
      <c r="M72" s="156"/>
      <c r="N72" s="192"/>
      <c r="W72" s="110"/>
      <c r="X72" s="180"/>
      <c r="Y72" s="160"/>
      <c r="Z72"/>
      <c r="AD72"/>
    </row>
    <row r="73" spans="2:30">
      <c r="B73" s="153"/>
      <c r="C73" s="153"/>
      <c r="D73" s="153"/>
      <c r="E73" s="153"/>
      <c r="F73" s="153"/>
      <c r="G73" s="153"/>
      <c r="H73" s="153"/>
      <c r="I73" s="153"/>
      <c r="K73" s="190"/>
      <c r="L73" s="193"/>
      <c r="M73" s="156"/>
      <c r="N73" s="192"/>
    </row>
    <row r="74" spans="2:30">
      <c r="B74" s="153"/>
      <c r="C74" s="153"/>
      <c r="D74" s="153"/>
      <c r="E74" s="153"/>
      <c r="F74" s="153"/>
      <c r="G74" s="153"/>
      <c r="H74" s="153"/>
      <c r="I74" s="153"/>
      <c r="K74" s="190"/>
      <c r="L74" s="193"/>
      <c r="M74" s="156"/>
      <c r="N74" s="192"/>
    </row>
    <row r="75" spans="2:30">
      <c r="B75" s="153"/>
      <c r="C75" s="153"/>
      <c r="D75" s="153"/>
      <c r="E75" s="153"/>
      <c r="F75" s="153"/>
      <c r="G75" s="153"/>
      <c r="H75" s="153"/>
      <c r="I75" s="153"/>
      <c r="K75" s="190"/>
      <c r="L75" s="193"/>
      <c r="M75" s="156"/>
      <c r="N75" s="192"/>
    </row>
    <row r="76" spans="2:30">
      <c r="B76" s="153"/>
      <c r="C76" s="153"/>
      <c r="D76" s="153"/>
      <c r="E76" s="153"/>
      <c r="F76" s="153"/>
      <c r="G76" s="153"/>
      <c r="H76" s="153"/>
      <c r="I76" s="153"/>
      <c r="K76" s="190"/>
      <c r="L76" s="193"/>
      <c r="M76" s="156"/>
      <c r="N76" s="192"/>
    </row>
    <row r="77" spans="2:30">
      <c r="B77" s="153"/>
      <c r="C77" s="153"/>
      <c r="D77" s="153"/>
      <c r="E77" s="153"/>
      <c r="F77" s="153"/>
      <c r="G77" s="153"/>
      <c r="H77" s="153"/>
      <c r="I77" s="153"/>
      <c r="K77" s="190"/>
      <c r="L77" s="193"/>
      <c r="M77" s="156"/>
      <c r="N77" s="192"/>
    </row>
    <row r="78" spans="2:30">
      <c r="B78" s="153"/>
      <c r="C78" s="153"/>
      <c r="D78" s="153"/>
      <c r="E78" s="153"/>
      <c r="F78" s="153"/>
      <c r="G78" s="153"/>
      <c r="H78" s="153"/>
      <c r="I78" s="153"/>
      <c r="K78" s="190"/>
      <c r="L78" s="193"/>
      <c r="M78" s="156"/>
      <c r="N78" s="192"/>
    </row>
    <row r="79" spans="2:30">
      <c r="B79" s="153"/>
      <c r="C79" s="153"/>
      <c r="D79" s="153"/>
      <c r="E79" s="153"/>
      <c r="F79" s="153"/>
      <c r="G79" s="153"/>
      <c r="H79" s="153"/>
      <c r="I79" s="153"/>
      <c r="K79" s="190"/>
      <c r="L79" s="193"/>
      <c r="M79" s="156"/>
      <c r="N79" s="192"/>
    </row>
    <row r="80" spans="2:30">
      <c r="B80" s="153"/>
      <c r="C80" s="153"/>
      <c r="D80" s="153"/>
      <c r="E80" s="153"/>
      <c r="F80" s="153"/>
      <c r="G80" s="153"/>
      <c r="H80" s="153"/>
      <c r="I80" s="153"/>
      <c r="K80" s="4"/>
      <c r="L80" s="4"/>
      <c r="M80" s="194"/>
      <c r="N80" s="34"/>
    </row>
    <row r="81" spans="2:9">
      <c r="B81" s="153"/>
      <c r="C81" s="153"/>
      <c r="D81" s="153"/>
      <c r="E81" s="153"/>
      <c r="F81" s="153"/>
      <c r="G81" s="153"/>
      <c r="H81" s="153"/>
      <c r="I81" s="153"/>
    </row>
    <row r="82" spans="2:9">
      <c r="B82" s="153"/>
      <c r="C82" s="153"/>
      <c r="D82" s="153"/>
      <c r="E82" s="153"/>
      <c r="F82" s="153"/>
      <c r="G82" s="153"/>
      <c r="H82" s="153"/>
      <c r="I82" s="153"/>
    </row>
    <row r="83" spans="2:9">
      <c r="B83" s="153"/>
      <c r="C83" s="153"/>
      <c r="D83" s="153"/>
      <c r="E83" s="153"/>
      <c r="F83" s="153"/>
      <c r="G83" s="153"/>
      <c r="H83" s="153"/>
      <c r="I83" s="153"/>
    </row>
    <row r="84" spans="2:9">
      <c r="B84" s="153"/>
      <c r="C84" s="153"/>
      <c r="D84" s="153"/>
      <c r="E84" s="153"/>
      <c r="F84" s="153"/>
      <c r="G84" s="153"/>
      <c r="H84" s="153"/>
      <c r="I84" s="153"/>
    </row>
    <row r="85" spans="2:9">
      <c r="B85" s="153"/>
      <c r="C85" s="153"/>
      <c r="D85" s="153"/>
      <c r="E85" s="153"/>
      <c r="F85" s="153"/>
      <c r="G85" s="153"/>
      <c r="H85" s="153"/>
      <c r="I85" s="153"/>
    </row>
    <row r="86" spans="2:9">
      <c r="B86" s="153"/>
      <c r="C86" s="153"/>
      <c r="D86" s="153"/>
      <c r="E86" s="153"/>
      <c r="F86" s="153"/>
      <c r="G86" s="153"/>
      <c r="H86" s="153"/>
      <c r="I86" s="153"/>
    </row>
    <row r="87" spans="2:9">
      <c r="B87" s="153"/>
      <c r="C87" s="153"/>
      <c r="D87" s="153"/>
      <c r="E87" s="153"/>
      <c r="F87" s="153"/>
      <c r="G87" s="153"/>
      <c r="H87" s="153"/>
      <c r="I87" s="153"/>
    </row>
    <row r="88" spans="2:9">
      <c r="B88" s="153"/>
      <c r="C88" s="153"/>
      <c r="D88" s="153"/>
      <c r="E88" s="153"/>
      <c r="F88" s="153"/>
      <c r="G88" s="153"/>
      <c r="H88" s="153"/>
      <c r="I88" s="153"/>
    </row>
    <row r="89" spans="2:9">
      <c r="B89" s="153"/>
      <c r="C89" s="153"/>
      <c r="D89" s="153"/>
      <c r="E89" s="153"/>
      <c r="F89" s="153"/>
      <c r="G89" s="153"/>
      <c r="H89" s="153"/>
      <c r="I89" s="153"/>
    </row>
    <row r="90" spans="2:9">
      <c r="B90" s="153"/>
      <c r="C90" s="153"/>
      <c r="D90" s="153"/>
      <c r="E90" s="153"/>
      <c r="F90" s="153"/>
      <c r="G90" s="153"/>
      <c r="H90" s="153"/>
      <c r="I90" s="153"/>
    </row>
    <row r="91" spans="2:9">
      <c r="B91" s="153"/>
      <c r="C91" s="153"/>
      <c r="D91" s="153"/>
      <c r="E91" s="153"/>
      <c r="F91" s="153"/>
      <c r="G91" s="153"/>
      <c r="H91" s="153"/>
      <c r="I91" s="153"/>
    </row>
    <row r="92" spans="2:9">
      <c r="B92" s="153"/>
      <c r="C92" s="153"/>
      <c r="D92" s="153"/>
      <c r="E92" s="153"/>
      <c r="F92" s="153"/>
      <c r="G92" s="153"/>
      <c r="H92" s="153"/>
      <c r="I92" s="153"/>
    </row>
    <row r="93" spans="2:9">
      <c r="B93" s="153"/>
      <c r="C93" s="153"/>
      <c r="D93" s="153"/>
      <c r="E93" s="153"/>
      <c r="F93" s="153"/>
      <c r="G93" s="153"/>
      <c r="H93" s="153"/>
      <c r="I93" s="153"/>
    </row>
    <row r="94" spans="2:9">
      <c r="B94" s="153"/>
      <c r="C94" s="153"/>
      <c r="D94" s="153"/>
      <c r="E94" s="153"/>
      <c r="F94" s="153"/>
      <c r="G94" s="153"/>
      <c r="H94" s="153"/>
      <c r="I94" s="153"/>
    </row>
    <row r="95" spans="2:9">
      <c r="B95" s="153"/>
      <c r="C95" s="153"/>
      <c r="D95" s="153"/>
      <c r="E95" s="153"/>
      <c r="F95" s="153"/>
      <c r="G95" s="153"/>
      <c r="H95" s="153"/>
      <c r="I95" s="153"/>
    </row>
    <row r="96" spans="2:9">
      <c r="B96" s="153"/>
      <c r="C96" s="153"/>
      <c r="D96" s="153"/>
      <c r="E96" s="153"/>
      <c r="F96" s="153"/>
      <c r="G96" s="153"/>
      <c r="H96" s="153"/>
      <c r="I96" s="153"/>
    </row>
    <row r="97" spans="2:9">
      <c r="B97" s="153"/>
      <c r="C97" s="153"/>
      <c r="D97" s="153"/>
      <c r="E97" s="153"/>
      <c r="F97" s="153"/>
      <c r="G97" s="153"/>
      <c r="H97" s="153"/>
      <c r="I97" s="153"/>
    </row>
    <row r="98" spans="2:9">
      <c r="B98" s="153"/>
      <c r="C98" s="153"/>
      <c r="D98" s="153"/>
      <c r="E98" s="153"/>
      <c r="F98" s="153"/>
      <c r="G98" s="153"/>
      <c r="H98" s="153"/>
      <c r="I98" s="153"/>
    </row>
    <row r="99" spans="2:9">
      <c r="B99" s="153"/>
      <c r="C99" s="153"/>
      <c r="D99" s="153"/>
      <c r="E99" s="153"/>
      <c r="F99" s="153"/>
      <c r="G99" s="153"/>
      <c r="H99" s="153"/>
      <c r="I99" s="153"/>
    </row>
    <row r="100" spans="2:9">
      <c r="B100" s="153"/>
      <c r="C100" s="153"/>
      <c r="D100" s="153"/>
      <c r="E100" s="153"/>
      <c r="F100" s="153"/>
      <c r="G100" s="153"/>
      <c r="H100" s="153"/>
      <c r="I100" s="153"/>
    </row>
    <row r="101" spans="2:9">
      <c r="B101" s="153"/>
      <c r="C101" s="153"/>
      <c r="D101" s="153"/>
      <c r="E101" s="153"/>
      <c r="F101" s="153"/>
      <c r="G101" s="153"/>
      <c r="H101" s="153"/>
      <c r="I101" s="153"/>
    </row>
    <row r="102" spans="2:9">
      <c r="B102" s="153"/>
      <c r="C102" s="153"/>
      <c r="D102" s="153"/>
      <c r="E102" s="153"/>
      <c r="F102" s="153"/>
      <c r="G102" s="153"/>
      <c r="H102" s="153"/>
      <c r="I102" s="153"/>
    </row>
    <row r="103" spans="2:9">
      <c r="B103" s="153"/>
      <c r="C103" s="153"/>
      <c r="D103" s="153"/>
      <c r="E103" s="153"/>
      <c r="F103" s="153"/>
      <c r="G103" s="153"/>
      <c r="H103" s="153"/>
      <c r="I103" s="153"/>
    </row>
    <row r="104" spans="2:9">
      <c r="B104" s="153"/>
      <c r="C104" s="153"/>
      <c r="D104" s="153"/>
      <c r="E104" s="153"/>
      <c r="F104" s="153"/>
      <c r="G104" s="153"/>
      <c r="H104" s="153"/>
      <c r="I104" s="153"/>
    </row>
    <row r="105" spans="2:9">
      <c r="B105" s="153"/>
      <c r="C105" s="153"/>
      <c r="D105" s="153"/>
      <c r="E105" s="153"/>
      <c r="F105" s="153"/>
      <c r="G105" s="153"/>
      <c r="H105" s="153"/>
      <c r="I105" s="153"/>
    </row>
    <row r="106" spans="2:9">
      <c r="B106" s="153"/>
      <c r="C106" s="153"/>
      <c r="D106" s="153"/>
      <c r="E106" s="153"/>
      <c r="F106" s="153"/>
      <c r="G106" s="153"/>
      <c r="H106" s="153"/>
      <c r="I106" s="153"/>
    </row>
    <row r="107" spans="2:9">
      <c r="B107" s="153"/>
      <c r="C107" s="153"/>
      <c r="D107" s="153"/>
      <c r="E107" s="153"/>
      <c r="F107" s="153"/>
      <c r="G107" s="153"/>
      <c r="H107" s="153"/>
      <c r="I107" s="153"/>
    </row>
    <row r="108" spans="2:9">
      <c r="B108" s="153"/>
      <c r="C108" s="153"/>
      <c r="D108" s="153"/>
      <c r="E108" s="153"/>
      <c r="F108" s="153"/>
      <c r="G108" s="153"/>
      <c r="H108" s="153"/>
      <c r="I108" s="153"/>
    </row>
    <row r="109" spans="2:9">
      <c r="B109" s="153"/>
      <c r="C109" s="153"/>
      <c r="D109" s="153"/>
      <c r="E109" s="153"/>
      <c r="F109" s="153"/>
      <c r="G109" s="153"/>
      <c r="H109" s="153"/>
      <c r="I109" s="153"/>
    </row>
    <row r="110" spans="2:9">
      <c r="B110" s="153"/>
      <c r="C110" s="153"/>
      <c r="D110" s="153"/>
      <c r="E110" s="153"/>
      <c r="F110" s="153"/>
      <c r="G110" s="153"/>
      <c r="H110" s="153"/>
      <c r="I110" s="153"/>
    </row>
    <row r="111" spans="2:9">
      <c r="B111" s="153"/>
      <c r="C111" s="153"/>
      <c r="D111" s="153"/>
      <c r="E111" s="153"/>
      <c r="F111" s="153"/>
      <c r="G111" s="153"/>
      <c r="H111" s="153"/>
      <c r="I111" s="153"/>
    </row>
    <row r="112" spans="2:9">
      <c r="B112" s="153"/>
      <c r="C112" s="153"/>
      <c r="D112" s="153"/>
      <c r="E112" s="153"/>
      <c r="F112" s="153"/>
      <c r="G112" s="153"/>
      <c r="H112" s="153"/>
      <c r="I112" s="153"/>
    </row>
    <row r="113" spans="2:9">
      <c r="B113" s="153"/>
      <c r="C113" s="153"/>
      <c r="D113" s="153"/>
      <c r="E113" s="153"/>
      <c r="F113" s="153"/>
      <c r="G113" s="153"/>
      <c r="H113" s="153"/>
      <c r="I113" s="153"/>
    </row>
    <row r="114" spans="2:9">
      <c r="B114" s="153"/>
      <c r="C114" s="153"/>
      <c r="D114" s="153"/>
      <c r="E114" s="153"/>
      <c r="F114" s="153"/>
      <c r="G114" s="153"/>
      <c r="H114" s="153"/>
      <c r="I114" s="153"/>
    </row>
    <row r="115" spans="2:9">
      <c r="B115" s="153"/>
      <c r="C115" s="153"/>
      <c r="D115" s="153"/>
      <c r="E115" s="153"/>
      <c r="F115" s="153"/>
      <c r="G115" s="153"/>
      <c r="H115" s="153"/>
      <c r="I115" s="153"/>
    </row>
    <row r="116" spans="2:9">
      <c r="B116" s="153"/>
      <c r="C116" s="153"/>
      <c r="D116" s="153"/>
      <c r="E116" s="153"/>
      <c r="F116" s="153"/>
      <c r="G116" s="153"/>
      <c r="H116" s="153"/>
      <c r="I116" s="153"/>
    </row>
    <row r="117" spans="2:9">
      <c r="B117" s="153"/>
      <c r="C117" s="153"/>
      <c r="D117" s="153"/>
      <c r="E117" s="153"/>
      <c r="F117" s="153"/>
      <c r="G117" s="153"/>
      <c r="H117" s="153"/>
      <c r="I117" s="153"/>
    </row>
    <row r="118" spans="2:9">
      <c r="B118" s="153"/>
      <c r="C118" s="153"/>
      <c r="D118" s="153"/>
      <c r="E118" s="153"/>
      <c r="F118" s="153"/>
      <c r="G118" s="153"/>
      <c r="H118" s="153"/>
      <c r="I118" s="153"/>
    </row>
    <row r="119" spans="2:9">
      <c r="B119" s="153"/>
      <c r="C119" s="153"/>
      <c r="D119" s="153"/>
      <c r="E119" s="153"/>
      <c r="F119" s="153"/>
      <c r="G119" s="153"/>
      <c r="H119" s="153"/>
      <c r="I119" s="153"/>
    </row>
    <row r="120" spans="2:9">
      <c r="B120" s="153"/>
      <c r="C120" s="153"/>
      <c r="D120" s="153"/>
      <c r="E120" s="153"/>
      <c r="F120" s="153"/>
      <c r="G120" s="153"/>
      <c r="H120" s="153"/>
      <c r="I120" s="153"/>
    </row>
    <row r="121" spans="2:9">
      <c r="B121" s="153"/>
      <c r="C121" s="153"/>
      <c r="D121" s="153"/>
      <c r="E121" s="153"/>
      <c r="F121" s="153"/>
      <c r="G121" s="153"/>
      <c r="H121" s="153"/>
      <c r="I121" s="153"/>
    </row>
    <row r="122" spans="2:9">
      <c r="B122" s="153"/>
      <c r="C122" s="153"/>
      <c r="D122" s="153"/>
      <c r="E122" s="153"/>
      <c r="F122" s="153"/>
      <c r="G122" s="153"/>
      <c r="H122" s="153"/>
      <c r="I122" s="153"/>
    </row>
    <row r="123" spans="2:9">
      <c r="B123" s="153"/>
      <c r="C123" s="153"/>
      <c r="D123" s="153"/>
      <c r="E123" s="153"/>
      <c r="F123" s="153"/>
      <c r="G123" s="153"/>
      <c r="H123" s="153"/>
      <c r="I123" s="153"/>
    </row>
    <row r="124" spans="2:9">
      <c r="B124" s="153"/>
      <c r="C124" s="153"/>
      <c r="D124" s="153"/>
      <c r="E124" s="153"/>
      <c r="F124" s="153"/>
      <c r="G124" s="153"/>
      <c r="H124" s="153"/>
      <c r="I124" s="153"/>
    </row>
    <row r="125" spans="2:9">
      <c r="B125" s="153"/>
      <c r="C125" s="153"/>
      <c r="D125" s="153"/>
      <c r="E125" s="153"/>
      <c r="F125" s="153"/>
      <c r="G125" s="153"/>
      <c r="H125" s="153"/>
      <c r="I125" s="153"/>
    </row>
    <row r="126" spans="2:9">
      <c r="B126" s="153"/>
      <c r="C126" s="153"/>
      <c r="D126" s="153"/>
      <c r="E126" s="153"/>
      <c r="F126" s="153"/>
      <c r="G126" s="153"/>
      <c r="H126" s="153"/>
      <c r="I126" s="153"/>
    </row>
    <row r="127" spans="2:9">
      <c r="B127" s="153"/>
      <c r="C127" s="153"/>
      <c r="D127" s="153"/>
      <c r="E127" s="153"/>
      <c r="F127" s="153"/>
      <c r="G127" s="153"/>
      <c r="H127" s="153"/>
      <c r="I127" s="153"/>
    </row>
    <row r="128" spans="2:9">
      <c r="B128" s="153"/>
      <c r="C128" s="153"/>
      <c r="D128" s="153"/>
      <c r="E128" s="153"/>
      <c r="F128" s="153"/>
      <c r="G128" s="153"/>
      <c r="H128" s="153"/>
      <c r="I128" s="153"/>
    </row>
    <row r="129" spans="2:9">
      <c r="B129" s="153"/>
      <c r="C129" s="153"/>
      <c r="D129" s="153"/>
      <c r="E129" s="153"/>
      <c r="F129" s="153"/>
      <c r="G129" s="153"/>
      <c r="H129" s="153"/>
      <c r="I129" s="153"/>
    </row>
    <row r="130" spans="2:9">
      <c r="B130" s="153"/>
      <c r="C130" s="153"/>
      <c r="D130" s="153"/>
      <c r="E130" s="153"/>
      <c r="F130" s="153"/>
      <c r="G130" s="153"/>
      <c r="H130" s="153"/>
      <c r="I130" s="153"/>
    </row>
    <row r="131" spans="2:9">
      <c r="B131" s="153"/>
      <c r="C131" s="153"/>
      <c r="D131" s="153"/>
      <c r="E131" s="153"/>
      <c r="F131" s="153"/>
      <c r="G131" s="153"/>
      <c r="H131" s="153"/>
      <c r="I131" s="153"/>
    </row>
    <row r="132" spans="2:9">
      <c r="B132" s="153"/>
      <c r="C132" s="153"/>
      <c r="D132" s="153"/>
      <c r="E132" s="153"/>
      <c r="F132" s="153"/>
      <c r="G132" s="153"/>
      <c r="H132" s="153"/>
      <c r="I132" s="153"/>
    </row>
    <row r="133" spans="2:9">
      <c r="B133" s="153"/>
      <c r="C133" s="153"/>
      <c r="D133" s="153"/>
      <c r="E133" s="153"/>
      <c r="F133" s="153"/>
      <c r="G133" s="153"/>
      <c r="H133" s="153"/>
      <c r="I133" s="153"/>
    </row>
    <row r="134" spans="2:9">
      <c r="B134" s="153"/>
      <c r="C134" s="153"/>
      <c r="D134" s="153"/>
      <c r="E134" s="153"/>
      <c r="F134" s="153"/>
      <c r="G134" s="153"/>
      <c r="H134" s="153"/>
      <c r="I134" s="153"/>
    </row>
    <row r="135" spans="2:9">
      <c r="B135" s="153"/>
      <c r="C135" s="153"/>
      <c r="D135" s="153"/>
      <c r="E135" s="153"/>
      <c r="F135" s="153"/>
      <c r="G135" s="153"/>
      <c r="H135" s="153"/>
      <c r="I135" s="153"/>
    </row>
    <row r="136" spans="2:9">
      <c r="B136" s="153"/>
      <c r="C136" s="153"/>
      <c r="D136" s="153"/>
      <c r="E136" s="153"/>
      <c r="F136" s="153"/>
      <c r="G136" s="153"/>
      <c r="H136" s="153"/>
      <c r="I136" s="153"/>
    </row>
    <row r="137" spans="2:9">
      <c r="B137" s="153"/>
      <c r="C137" s="153"/>
      <c r="D137" s="153"/>
      <c r="E137" s="153"/>
      <c r="F137" s="153"/>
      <c r="G137" s="153"/>
      <c r="H137" s="153"/>
      <c r="I137" s="153"/>
    </row>
    <row r="138" spans="2:9">
      <c r="B138" s="153"/>
      <c r="C138" s="153"/>
      <c r="D138" s="153"/>
      <c r="E138" s="153"/>
      <c r="F138" s="153"/>
      <c r="G138" s="153"/>
      <c r="H138" s="153"/>
      <c r="I138" s="153"/>
    </row>
    <row r="139" spans="2:9">
      <c r="B139" s="153"/>
      <c r="C139" s="153"/>
      <c r="D139" s="153"/>
      <c r="E139" s="153"/>
      <c r="F139" s="153"/>
      <c r="G139" s="153"/>
      <c r="H139" s="153"/>
      <c r="I139" s="153"/>
    </row>
    <row r="140" spans="2:9">
      <c r="B140" s="153"/>
      <c r="C140" s="153"/>
      <c r="D140" s="153"/>
      <c r="E140" s="153"/>
      <c r="F140" s="153"/>
      <c r="G140" s="153"/>
      <c r="H140" s="153"/>
      <c r="I140" s="153"/>
    </row>
    <row r="141" spans="2:9">
      <c r="B141" s="153"/>
      <c r="C141" s="153"/>
      <c r="D141" s="153"/>
      <c r="E141" s="153"/>
      <c r="F141" s="153"/>
      <c r="G141" s="153"/>
      <c r="H141" s="153"/>
      <c r="I141" s="153"/>
    </row>
    <row r="142" spans="2:9">
      <c r="B142" s="153"/>
      <c r="C142" s="153"/>
      <c r="D142" s="153"/>
      <c r="E142" s="153"/>
      <c r="F142" s="153"/>
      <c r="G142" s="153"/>
      <c r="H142" s="153"/>
      <c r="I142" s="153"/>
    </row>
    <row r="143" spans="2:9">
      <c r="B143" s="153"/>
      <c r="C143" s="153"/>
      <c r="D143" s="153"/>
      <c r="E143" s="153"/>
      <c r="F143" s="153"/>
      <c r="G143" s="153"/>
      <c r="H143" s="153"/>
      <c r="I143" s="153"/>
    </row>
    <row r="144" spans="2:9">
      <c r="B144" s="153"/>
      <c r="C144" s="153"/>
      <c r="D144" s="153"/>
      <c r="E144" s="153"/>
      <c r="F144" s="153"/>
      <c r="G144" s="153"/>
      <c r="H144" s="153"/>
      <c r="I144" s="153"/>
    </row>
    <row r="145" spans="2:9">
      <c r="B145" s="153"/>
      <c r="C145" s="153"/>
      <c r="D145" s="153"/>
      <c r="E145" s="153"/>
      <c r="F145" s="153"/>
      <c r="G145" s="153"/>
      <c r="H145" s="153"/>
      <c r="I145" s="153"/>
    </row>
    <row r="146" spans="2:9">
      <c r="B146" s="153"/>
      <c r="C146" s="153"/>
      <c r="D146" s="153"/>
      <c r="E146" s="153"/>
      <c r="F146" s="153"/>
      <c r="G146" s="153"/>
      <c r="H146" s="153"/>
      <c r="I146" s="153"/>
    </row>
    <row r="147" spans="2:9">
      <c r="B147" s="153"/>
      <c r="C147" s="153"/>
      <c r="D147" s="153"/>
      <c r="E147" s="153"/>
      <c r="F147" s="153"/>
      <c r="G147" s="153"/>
      <c r="H147" s="153"/>
      <c r="I147" s="153"/>
    </row>
    <row r="148" spans="2:9">
      <c r="B148" s="153"/>
      <c r="C148" s="153"/>
      <c r="D148" s="153"/>
      <c r="E148" s="153"/>
      <c r="F148" s="153"/>
      <c r="G148" s="153"/>
      <c r="H148" s="153"/>
      <c r="I148" s="153"/>
    </row>
    <row r="149" spans="2:9">
      <c r="B149" s="153"/>
      <c r="C149" s="153"/>
      <c r="D149" s="153"/>
      <c r="E149" s="153"/>
      <c r="F149" s="153"/>
      <c r="G149" s="153"/>
      <c r="H149" s="153"/>
      <c r="I149" s="153"/>
    </row>
    <row r="150" spans="2:9">
      <c r="B150" s="153"/>
      <c r="C150" s="153"/>
      <c r="D150" s="153"/>
      <c r="E150" s="153"/>
      <c r="F150" s="153"/>
      <c r="G150" s="153"/>
      <c r="H150" s="153"/>
      <c r="I150" s="153"/>
    </row>
    <row r="151" spans="2:9">
      <c r="B151" s="153"/>
      <c r="C151" s="153"/>
      <c r="D151" s="153"/>
      <c r="E151" s="153"/>
      <c r="F151" s="153"/>
      <c r="G151" s="153"/>
      <c r="H151" s="153"/>
      <c r="I151" s="153"/>
    </row>
    <row r="152" spans="2:9">
      <c r="B152" s="153"/>
      <c r="C152" s="153"/>
      <c r="D152" s="153"/>
      <c r="E152" s="153"/>
      <c r="F152" s="153"/>
      <c r="G152" s="153"/>
      <c r="H152" s="153"/>
      <c r="I152" s="153"/>
    </row>
    <row r="153" spans="2:9">
      <c r="B153" s="153"/>
      <c r="C153" s="153"/>
      <c r="D153" s="153"/>
      <c r="E153" s="153"/>
      <c r="F153" s="153"/>
      <c r="G153" s="153"/>
      <c r="H153" s="153"/>
      <c r="I153" s="153"/>
    </row>
    <row r="154" spans="2:9">
      <c r="B154" s="153"/>
      <c r="C154" s="153"/>
      <c r="D154" s="153"/>
      <c r="E154" s="153"/>
      <c r="F154" s="153"/>
      <c r="G154" s="153"/>
      <c r="H154" s="153"/>
      <c r="I154" s="153"/>
    </row>
    <row r="155" spans="2:9">
      <c r="B155" s="153"/>
      <c r="C155" s="153"/>
      <c r="D155" s="153"/>
      <c r="E155" s="153"/>
      <c r="F155" s="153"/>
      <c r="G155" s="153"/>
      <c r="H155" s="153"/>
      <c r="I155" s="153"/>
    </row>
    <row r="156" spans="2:9">
      <c r="B156" s="153"/>
      <c r="C156" s="153"/>
      <c r="D156" s="153"/>
      <c r="E156" s="153"/>
      <c r="F156" s="153"/>
      <c r="G156" s="153"/>
      <c r="H156" s="153"/>
      <c r="I156" s="153"/>
    </row>
    <row r="157" spans="2:9">
      <c r="B157" s="153"/>
      <c r="C157" s="153"/>
      <c r="D157" s="153"/>
      <c r="E157" s="153"/>
      <c r="F157" s="153"/>
      <c r="G157" s="153"/>
      <c r="H157" s="153"/>
      <c r="I157" s="153"/>
    </row>
    <row r="158" spans="2:9">
      <c r="B158" s="153"/>
      <c r="C158" s="153"/>
      <c r="D158" s="153"/>
      <c r="E158" s="153"/>
      <c r="F158" s="153"/>
      <c r="G158" s="153"/>
      <c r="H158" s="153"/>
      <c r="I158" s="153"/>
    </row>
    <row r="159" spans="2:9">
      <c r="B159" s="153"/>
      <c r="C159" s="153"/>
      <c r="D159" s="153"/>
      <c r="E159" s="153"/>
      <c r="F159" s="153"/>
      <c r="G159" s="153"/>
      <c r="H159" s="153"/>
      <c r="I159" s="153"/>
    </row>
    <row r="160" spans="2:9">
      <c r="B160" s="153"/>
      <c r="C160" s="153"/>
      <c r="D160" s="153"/>
      <c r="E160" s="153"/>
      <c r="F160" s="153"/>
      <c r="G160" s="153"/>
      <c r="H160" s="153"/>
      <c r="I160" s="153"/>
    </row>
    <row r="161" spans="2:9">
      <c r="B161" s="153"/>
      <c r="C161" s="153"/>
      <c r="D161" s="153"/>
      <c r="E161" s="153"/>
      <c r="F161" s="153"/>
      <c r="G161" s="153"/>
      <c r="H161" s="153"/>
      <c r="I161" s="153"/>
    </row>
    <row r="162" spans="2:9">
      <c r="B162" s="153"/>
      <c r="C162" s="153"/>
      <c r="D162" s="153"/>
      <c r="E162" s="153"/>
      <c r="F162" s="153"/>
      <c r="G162" s="153"/>
      <c r="H162" s="153"/>
      <c r="I162" s="153"/>
    </row>
    <row r="163" spans="2:9">
      <c r="B163" s="153"/>
      <c r="C163" s="153"/>
      <c r="D163" s="153"/>
      <c r="E163" s="153"/>
      <c r="F163" s="153"/>
      <c r="G163" s="153"/>
      <c r="H163" s="153"/>
      <c r="I163" s="153"/>
    </row>
    <row r="164" spans="2:9">
      <c r="B164" s="153"/>
      <c r="C164" s="153"/>
      <c r="D164" s="153"/>
      <c r="E164" s="153"/>
      <c r="F164" s="153"/>
      <c r="G164" s="153"/>
      <c r="H164" s="153"/>
      <c r="I164" s="153"/>
    </row>
    <row r="165" spans="2:9">
      <c r="B165" s="153"/>
      <c r="C165" s="153"/>
      <c r="D165" s="153"/>
      <c r="E165" s="153"/>
      <c r="F165" s="153"/>
      <c r="G165" s="153"/>
      <c r="H165" s="153"/>
      <c r="I165" s="153"/>
    </row>
    <row r="166" spans="2:9">
      <c r="B166" s="153"/>
      <c r="C166" s="153"/>
      <c r="D166" s="153"/>
      <c r="E166" s="153"/>
      <c r="F166" s="153"/>
      <c r="G166" s="153"/>
      <c r="H166" s="153"/>
      <c r="I166" s="153"/>
    </row>
    <row r="167" spans="2:9">
      <c r="B167" s="153"/>
      <c r="C167" s="153"/>
      <c r="D167" s="153"/>
      <c r="E167" s="153"/>
      <c r="F167" s="153"/>
      <c r="G167" s="153"/>
      <c r="H167" s="153"/>
      <c r="I167" s="153"/>
    </row>
    <row r="168" spans="2:9">
      <c r="B168" s="153"/>
      <c r="C168" s="153"/>
      <c r="D168" s="153"/>
      <c r="E168" s="153"/>
      <c r="F168" s="153"/>
      <c r="G168" s="153"/>
      <c r="H168" s="153"/>
      <c r="I168" s="153"/>
    </row>
    <row r="169" spans="2:9">
      <c r="B169" s="153"/>
      <c r="C169" s="153"/>
      <c r="D169" s="153"/>
      <c r="E169" s="153"/>
      <c r="F169" s="153"/>
      <c r="G169" s="153"/>
      <c r="H169" s="153"/>
      <c r="I169" s="153"/>
    </row>
    <row r="170" spans="2:9">
      <c r="B170" s="153"/>
      <c r="C170" s="153"/>
      <c r="D170" s="153"/>
      <c r="E170" s="153"/>
      <c r="F170" s="153"/>
      <c r="G170" s="153"/>
      <c r="H170" s="153"/>
      <c r="I170" s="153"/>
    </row>
    <row r="171" spans="2:9">
      <c r="B171" s="153"/>
      <c r="C171" s="153"/>
      <c r="D171" s="153"/>
      <c r="E171" s="153"/>
      <c r="F171" s="153"/>
      <c r="G171" s="153"/>
      <c r="H171" s="153"/>
      <c r="I171" s="153"/>
    </row>
    <row r="172" spans="2:9">
      <c r="B172" s="153"/>
      <c r="C172" s="153"/>
      <c r="D172" s="153"/>
      <c r="E172" s="153"/>
      <c r="F172" s="153"/>
      <c r="G172" s="153"/>
      <c r="H172" s="153"/>
      <c r="I172" s="153"/>
    </row>
    <row r="173" spans="2:9">
      <c r="B173" s="153"/>
      <c r="C173" s="153"/>
      <c r="D173" s="153"/>
      <c r="E173" s="153"/>
      <c r="F173" s="153"/>
      <c r="G173" s="153"/>
      <c r="H173" s="153"/>
      <c r="I173" s="153"/>
    </row>
    <row r="174" spans="2:9">
      <c r="B174" s="153"/>
      <c r="C174" s="153"/>
      <c r="D174" s="153"/>
      <c r="E174" s="153"/>
      <c r="F174" s="153"/>
      <c r="G174" s="153"/>
      <c r="H174" s="153"/>
      <c r="I174" s="153"/>
    </row>
    <row r="175" spans="2:9">
      <c r="B175" s="153"/>
      <c r="C175" s="153"/>
      <c r="D175" s="153"/>
      <c r="E175" s="153"/>
      <c r="F175" s="153"/>
      <c r="G175" s="153"/>
      <c r="H175" s="153"/>
      <c r="I175" s="153"/>
    </row>
    <row r="176" spans="2:9">
      <c r="B176" s="153"/>
      <c r="C176" s="153"/>
      <c r="D176" s="153"/>
      <c r="E176" s="153"/>
      <c r="F176" s="153"/>
      <c r="G176" s="153"/>
      <c r="H176" s="153"/>
      <c r="I176" s="153"/>
    </row>
    <row r="177" spans="2:9">
      <c r="B177" s="153"/>
      <c r="C177" s="153"/>
      <c r="D177" s="153"/>
      <c r="E177" s="153"/>
      <c r="F177" s="153"/>
      <c r="G177" s="153"/>
      <c r="H177" s="153"/>
      <c r="I177" s="153"/>
    </row>
    <row r="178" spans="2:9">
      <c r="B178" s="153"/>
      <c r="C178" s="153"/>
      <c r="D178" s="153"/>
      <c r="E178" s="153"/>
      <c r="F178" s="153"/>
      <c r="G178" s="153"/>
      <c r="H178" s="153"/>
      <c r="I178" s="153"/>
    </row>
    <row r="179" spans="2:9">
      <c r="B179" s="153"/>
      <c r="C179" s="153"/>
      <c r="D179" s="153"/>
      <c r="E179" s="153"/>
      <c r="F179" s="153"/>
      <c r="G179" s="153"/>
      <c r="H179" s="153"/>
      <c r="I179" s="153"/>
    </row>
    <row r="180" spans="2:9">
      <c r="B180" s="153"/>
      <c r="C180" s="153"/>
      <c r="D180" s="153"/>
      <c r="E180" s="153"/>
      <c r="F180" s="153"/>
      <c r="G180" s="153"/>
      <c r="H180" s="153"/>
      <c r="I180" s="153"/>
    </row>
    <row r="181" spans="2:9">
      <c r="B181" s="153"/>
      <c r="C181" s="153"/>
      <c r="D181" s="153"/>
      <c r="E181" s="153"/>
      <c r="F181" s="153"/>
      <c r="G181" s="153"/>
      <c r="H181" s="153"/>
      <c r="I181" s="153"/>
    </row>
    <row r="182" spans="2:9">
      <c r="B182" s="153"/>
      <c r="C182" s="153"/>
      <c r="D182" s="153"/>
      <c r="E182" s="153"/>
      <c r="F182" s="153"/>
      <c r="G182" s="153"/>
      <c r="H182" s="153"/>
      <c r="I182" s="153"/>
    </row>
    <row r="183" spans="2:9">
      <c r="B183" s="153"/>
      <c r="C183" s="153"/>
      <c r="D183" s="153"/>
      <c r="E183" s="153"/>
      <c r="F183" s="153"/>
      <c r="G183" s="153"/>
      <c r="H183" s="153"/>
      <c r="I183" s="153"/>
    </row>
    <row r="184" spans="2:9">
      <c r="B184" s="153"/>
      <c r="C184" s="153"/>
      <c r="D184" s="153"/>
      <c r="E184" s="153"/>
      <c r="F184" s="153"/>
      <c r="G184" s="153"/>
      <c r="H184" s="153"/>
      <c r="I184" s="153"/>
    </row>
    <row r="185" spans="2:9">
      <c r="B185" s="153"/>
      <c r="C185" s="153"/>
      <c r="D185" s="153"/>
      <c r="E185" s="153"/>
      <c r="F185" s="153"/>
      <c r="G185" s="153"/>
      <c r="H185" s="153"/>
      <c r="I185" s="153"/>
    </row>
    <row r="186" spans="2:9">
      <c r="B186" s="153"/>
      <c r="C186" s="153"/>
      <c r="D186" s="153"/>
      <c r="E186" s="153"/>
      <c r="F186" s="153"/>
      <c r="G186" s="153"/>
      <c r="H186" s="153"/>
      <c r="I186" s="153"/>
    </row>
    <row r="187" spans="2:9">
      <c r="B187" s="153"/>
      <c r="C187" s="153"/>
      <c r="D187" s="153"/>
      <c r="E187" s="153"/>
      <c r="F187" s="153"/>
      <c r="G187" s="153"/>
      <c r="H187" s="153"/>
      <c r="I187" s="153"/>
    </row>
    <row r="188" spans="2:9">
      <c r="B188" s="153"/>
      <c r="C188" s="153"/>
      <c r="D188" s="153"/>
      <c r="E188" s="153"/>
      <c r="F188" s="153"/>
      <c r="G188" s="153"/>
      <c r="H188" s="153"/>
      <c r="I188" s="153"/>
    </row>
    <row r="189" spans="2:9">
      <c r="B189" s="153"/>
      <c r="C189" s="153"/>
      <c r="D189" s="153"/>
      <c r="E189" s="153"/>
      <c r="F189" s="153"/>
      <c r="G189" s="153"/>
      <c r="H189" s="153"/>
      <c r="I189" s="153"/>
    </row>
    <row r="190" spans="2:9">
      <c r="B190" s="153"/>
      <c r="C190" s="153"/>
      <c r="D190" s="153"/>
      <c r="E190" s="153"/>
      <c r="F190" s="153"/>
      <c r="G190" s="153"/>
      <c r="H190" s="153"/>
      <c r="I190" s="153"/>
    </row>
    <row r="191" spans="2:9">
      <c r="B191" s="153"/>
      <c r="C191" s="153"/>
      <c r="D191" s="153"/>
      <c r="E191" s="153"/>
      <c r="F191" s="153"/>
      <c r="G191" s="153"/>
      <c r="H191" s="153"/>
      <c r="I191" s="153"/>
    </row>
    <row r="192" spans="2:9">
      <c r="B192" s="153"/>
      <c r="C192" s="153"/>
      <c r="D192" s="153"/>
      <c r="E192" s="153"/>
      <c r="F192" s="153"/>
      <c r="G192" s="153"/>
      <c r="H192" s="153"/>
      <c r="I192" s="153"/>
    </row>
  </sheetData>
  <mergeCells count="10">
    <mergeCell ref="U3:U4"/>
    <mergeCell ref="V3:X3"/>
    <mergeCell ref="A2:A4"/>
    <mergeCell ref="B2:E2"/>
    <mergeCell ref="F2:I2"/>
    <mergeCell ref="V2:AD2"/>
    <mergeCell ref="B3:C3"/>
    <mergeCell ref="E3:E4"/>
    <mergeCell ref="F3:G3"/>
    <mergeCell ref="I3:I4"/>
  </mergeCells>
  <pageMargins left="0.16" right="0.16" top="0.21" bottom="0.16" header="0.3" footer="0.18"/>
  <pageSetup paperSize="9" scale="86" orientation="landscape" r:id="rId1"/>
  <customProperties>
    <customPr name="EpmWorksheetKeyString_GUID" r:id="rId2"/>
  </customProperties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B1:W46"/>
  <sheetViews>
    <sheetView zoomScale="70" zoomScaleNormal="70" workbookViewId="0">
      <pane ySplit="5" topLeftCell="A27" activePane="bottomLeft" state="frozen"/>
      <selection pane="bottomLeft" activeCell="N44" sqref="N44"/>
    </sheetView>
  </sheetViews>
  <sheetFormatPr defaultColWidth="9.85546875" defaultRowHeight="13.5"/>
  <cols>
    <col min="1" max="1" width="1.42578125" style="1561" customWidth="1"/>
    <col min="2" max="2" width="10.42578125" style="1561" customWidth="1"/>
    <col min="3" max="3" width="18.85546875" style="1561" customWidth="1"/>
    <col min="4" max="4" width="11.42578125" style="1561" customWidth="1"/>
    <col min="5" max="5" width="15.85546875" style="1561" customWidth="1"/>
    <col min="6" max="6" width="12.5703125" style="1561" customWidth="1"/>
    <col min="7" max="7" width="14.85546875" style="1561" customWidth="1"/>
    <col min="8" max="8" width="15.140625" style="1561" customWidth="1"/>
    <col min="9" max="12" width="9.85546875" style="1561"/>
    <col min="13" max="13" width="10.42578125" style="1561" customWidth="1"/>
    <col min="14" max="15" width="9.85546875" style="1561"/>
    <col min="16" max="16" width="10.42578125" style="1561" customWidth="1"/>
    <col min="17" max="17" width="19.42578125" style="1561" customWidth="1"/>
    <col min="18" max="18" width="19.28515625" style="1561" customWidth="1"/>
    <col min="19" max="16384" width="9.85546875" style="1561"/>
  </cols>
  <sheetData>
    <row r="1" spans="2:20" ht="20.100000000000001" customHeight="1">
      <c r="B1" s="1559" t="s">
        <v>679</v>
      </c>
      <c r="C1" s="1560"/>
      <c r="D1" s="1560"/>
      <c r="E1" s="1560"/>
      <c r="F1" s="1559" t="str">
        <f>IF(Q40='[12]31 Dec 18 of Holdup '!D110,"Beginning","Ending")</f>
        <v>Ending</v>
      </c>
      <c r="R1" s="1562"/>
    </row>
    <row r="2" spans="2:20" ht="20.100000000000001" customHeight="1" thickBot="1">
      <c r="I2" s="1563"/>
      <c r="J2" s="1563"/>
      <c r="K2" s="1563"/>
      <c r="L2" s="1563"/>
      <c r="M2" s="1563"/>
    </row>
    <row r="3" spans="2:20" s="1564" customFormat="1" ht="20.100000000000001" customHeight="1">
      <c r="B3" s="1769" t="s">
        <v>680</v>
      </c>
      <c r="C3" s="1772" t="s">
        <v>681</v>
      </c>
      <c r="D3" s="1775" t="s">
        <v>682</v>
      </c>
      <c r="E3" s="1777" t="s">
        <v>683</v>
      </c>
      <c r="F3" s="1779" t="s">
        <v>684</v>
      </c>
      <c r="G3" s="1779" t="s">
        <v>685</v>
      </c>
      <c r="H3" s="1781" t="s">
        <v>686</v>
      </c>
      <c r="I3" s="1783" t="s">
        <v>687</v>
      </c>
      <c r="J3" s="1784"/>
      <c r="K3" s="1784"/>
      <c r="L3" s="1664"/>
      <c r="M3" s="1665"/>
      <c r="N3" s="1783" t="s">
        <v>688</v>
      </c>
      <c r="O3" s="1784"/>
      <c r="P3" s="1785"/>
      <c r="Q3" s="1786" t="s">
        <v>689</v>
      </c>
      <c r="R3" s="1788" t="s">
        <v>690</v>
      </c>
      <c r="T3" s="1565"/>
    </row>
    <row r="4" spans="2:20" ht="20.100000000000001" customHeight="1">
      <c r="B4" s="1770"/>
      <c r="C4" s="1773"/>
      <c r="D4" s="1776"/>
      <c r="E4" s="1778"/>
      <c r="F4" s="1780"/>
      <c r="G4" s="1780"/>
      <c r="H4" s="1782"/>
      <c r="I4" s="1566" t="s">
        <v>691</v>
      </c>
      <c r="J4" s="1567" t="s">
        <v>102</v>
      </c>
      <c r="K4" s="1568" t="s">
        <v>692</v>
      </c>
      <c r="L4" s="1568" t="s">
        <v>693</v>
      </c>
      <c r="M4" s="1569" t="s">
        <v>694</v>
      </c>
      <c r="N4" s="1566" t="s">
        <v>691</v>
      </c>
      <c r="O4" s="1567" t="s">
        <v>102</v>
      </c>
      <c r="P4" s="1569" t="s">
        <v>692</v>
      </c>
      <c r="Q4" s="1787"/>
      <c r="R4" s="1789"/>
      <c r="T4" s="1565"/>
    </row>
    <row r="5" spans="2:20" ht="20.100000000000001" customHeight="1" thickBot="1">
      <c r="B5" s="1771"/>
      <c r="C5" s="1774"/>
      <c r="D5" s="1570" t="s">
        <v>103</v>
      </c>
      <c r="E5" s="1571" t="s">
        <v>103</v>
      </c>
      <c r="F5" s="1572" t="s">
        <v>104</v>
      </c>
      <c r="G5" s="1573" t="s">
        <v>695</v>
      </c>
      <c r="H5" s="1573" t="s">
        <v>105</v>
      </c>
      <c r="I5" s="1574" t="s">
        <v>696</v>
      </c>
      <c r="J5" s="1571" t="s">
        <v>696</v>
      </c>
      <c r="K5" s="1573" t="s">
        <v>696</v>
      </c>
      <c r="L5" s="1573" t="s">
        <v>696</v>
      </c>
      <c r="M5" s="1575" t="s">
        <v>696</v>
      </c>
      <c r="N5" s="1574" t="s">
        <v>105</v>
      </c>
      <c r="O5" s="1571" t="s">
        <v>105</v>
      </c>
      <c r="P5" s="1575" t="s">
        <v>105</v>
      </c>
      <c r="Q5" s="1570" t="s">
        <v>105</v>
      </c>
      <c r="R5" s="1575" t="s">
        <v>105</v>
      </c>
      <c r="T5" s="1565"/>
    </row>
    <row r="6" spans="2:20" ht="20.100000000000001" customHeight="1">
      <c r="B6" s="1576" t="s">
        <v>697</v>
      </c>
      <c r="C6" s="1577" t="s">
        <v>698</v>
      </c>
      <c r="D6" s="1578">
        <v>14.335087278330226</v>
      </c>
      <c r="E6" s="1579">
        <v>339.26373225381536</v>
      </c>
      <c r="F6" s="1580">
        <v>81.324897766113281</v>
      </c>
      <c r="G6" s="1581">
        <v>1.042</v>
      </c>
      <c r="H6" s="1582">
        <f>(E6*F6/100+D6)*G6</f>
        <v>302.4310914602782</v>
      </c>
      <c r="I6" s="1583">
        <v>98.44</v>
      </c>
      <c r="J6" s="1583">
        <v>0</v>
      </c>
      <c r="K6" s="1583">
        <v>1.4</v>
      </c>
      <c r="L6" s="1583">
        <v>0.13</v>
      </c>
      <c r="M6" s="1584">
        <f>100-SUM(I6:L6)</f>
        <v>3.0000000000001137E-2</v>
      </c>
      <c r="N6" s="1585">
        <f>H6*I6/100</f>
        <v>297.71316643349786</v>
      </c>
      <c r="O6" s="1586">
        <f>H6*J6/100</f>
        <v>0</v>
      </c>
      <c r="P6" s="1587">
        <f>H6*(K6)/100</f>
        <v>4.2340352804438943</v>
      </c>
      <c r="Q6" s="1585">
        <f>N6+(P6*2*94/228)</f>
        <v>301.20438850684633</v>
      </c>
      <c r="R6" s="1587">
        <f>O6+(P6*58/228)</f>
        <v>1.077079150288359</v>
      </c>
      <c r="S6" s="1565"/>
      <c r="T6" s="1565"/>
    </row>
    <row r="7" spans="2:20" ht="20.100000000000001" customHeight="1">
      <c r="B7" s="1576" t="s">
        <v>699</v>
      </c>
      <c r="C7" s="1577" t="s">
        <v>700</v>
      </c>
      <c r="D7" s="1578">
        <v>31.704953060028192</v>
      </c>
      <c r="E7" s="1579">
        <v>1130.809992474339</v>
      </c>
      <c r="F7" s="1588">
        <v>74</v>
      </c>
      <c r="G7" s="1589">
        <v>1.0429999999999999</v>
      </c>
      <c r="H7" s="1582">
        <f>(E7*F7/100+D7)*G7</f>
        <v>905.85003443315372</v>
      </c>
      <c r="I7" s="1583">
        <v>62.21</v>
      </c>
      <c r="J7" s="1583">
        <v>0.40699999999999997</v>
      </c>
      <c r="K7" s="1583">
        <v>13.55</v>
      </c>
      <c r="L7" s="1583">
        <v>22.12</v>
      </c>
      <c r="M7" s="1590">
        <v>25.05</v>
      </c>
      <c r="N7" s="1585">
        <f>H7*I7/100</f>
        <v>563.52930642086494</v>
      </c>
      <c r="O7" s="1591">
        <f t="shared" ref="O7:O37" si="0">H7*J7/100</f>
        <v>3.6868096401429353</v>
      </c>
      <c r="P7" s="1587">
        <f>H7*(K7+M7)/100</f>
        <v>349.65811329119737</v>
      </c>
      <c r="Q7" s="1585">
        <f>N7+(P7*2*94/228)</f>
        <v>851.84389106448384</v>
      </c>
      <c r="R7" s="1587">
        <f>O7+(P7*58/228)</f>
        <v>92.634926179131753</v>
      </c>
      <c r="S7" s="1565"/>
      <c r="T7" s="1565"/>
    </row>
    <row r="8" spans="2:20" ht="20.100000000000001" customHeight="1">
      <c r="B8" s="1576" t="s">
        <v>701</v>
      </c>
      <c r="C8" s="1577" t="s">
        <v>702</v>
      </c>
      <c r="D8" s="1578">
        <v>31.704953060028192</v>
      </c>
      <c r="E8" s="1579">
        <v>1130.809992474339</v>
      </c>
      <c r="F8" s="1588">
        <v>22.010583877563477</v>
      </c>
      <c r="G8" s="1589">
        <v>1.022</v>
      </c>
      <c r="H8" s="1582">
        <f t="shared" ref="H8:H39" si="1">(E8*F8/100+D8)*G8</f>
        <v>286.77609731834997</v>
      </c>
      <c r="I8" s="1583">
        <v>75.849999999999994</v>
      </c>
      <c r="J8" s="1583">
        <v>4.9000000000000002E-2</v>
      </c>
      <c r="K8" s="1583">
        <v>18.899999999999999</v>
      </c>
      <c r="L8" s="1583">
        <v>4.09</v>
      </c>
      <c r="M8" s="1584">
        <f>100-SUM(I8:L8)</f>
        <v>1.11099999999999</v>
      </c>
      <c r="N8" s="1585">
        <f t="shared" ref="N8:N39" si="2">H8*I8/100</f>
        <v>217.51966981596846</v>
      </c>
      <c r="O8" s="1586">
        <f t="shared" si="0"/>
        <v>0.14052028768599148</v>
      </c>
      <c r="P8" s="1587">
        <f t="shared" ref="P8:P37" si="3">H8*(K8+M8)/100</f>
        <v>57.386764834374979</v>
      </c>
      <c r="Q8" s="1585">
        <f t="shared" ref="Q8:Q37" si="4">N8+(P8*2*94/228)</f>
        <v>264.83858117062852</v>
      </c>
      <c r="R8" s="1587">
        <f t="shared" ref="R8:R39" si="5">O8+(P8*58/228)</f>
        <v>14.738907833272608</v>
      </c>
      <c r="S8" s="1565"/>
      <c r="T8" s="1565"/>
    </row>
    <row r="9" spans="2:20" ht="20.100000000000001" customHeight="1">
      <c r="B9" s="1576" t="s">
        <v>703</v>
      </c>
      <c r="C9" s="1577" t="s">
        <v>704</v>
      </c>
      <c r="D9" s="1578">
        <v>2.0499999999999998</v>
      </c>
      <c r="E9" s="1579">
        <v>12.271846303085129</v>
      </c>
      <c r="F9" s="1588">
        <v>20.33819580078125</v>
      </c>
      <c r="G9" s="1581">
        <v>1.0740000000000001</v>
      </c>
      <c r="H9" s="1582">
        <f t="shared" si="1"/>
        <v>4.8822666670748252</v>
      </c>
      <c r="I9" s="1592">
        <v>98.93</v>
      </c>
      <c r="J9" s="1593">
        <v>0</v>
      </c>
      <c r="K9" s="1594">
        <v>0.87</v>
      </c>
      <c r="L9" s="1594">
        <v>0.16</v>
      </c>
      <c r="M9" s="1595">
        <v>3.9999999999992E-2</v>
      </c>
      <c r="N9" s="1585">
        <f t="shared" si="2"/>
        <v>4.8300264137371247</v>
      </c>
      <c r="O9" s="1586">
        <f t="shared" si="0"/>
        <v>0</v>
      </c>
      <c r="P9" s="1587">
        <f t="shared" si="3"/>
        <v>4.4428626670380521E-2</v>
      </c>
      <c r="Q9" s="1585">
        <f t="shared" si="4"/>
        <v>4.8666605445004212</v>
      </c>
      <c r="R9" s="1587">
        <f t="shared" si="5"/>
        <v>1.1302019065272237E-2</v>
      </c>
      <c r="T9" s="1565"/>
    </row>
    <row r="10" spans="2:20" ht="20.100000000000001" customHeight="1">
      <c r="B10" s="1576" t="s">
        <v>705</v>
      </c>
      <c r="C10" s="1577" t="s">
        <v>706</v>
      </c>
      <c r="D10" s="1578">
        <v>2.2999999999999998</v>
      </c>
      <c r="E10" s="1579">
        <v>13.804158119873552</v>
      </c>
      <c r="F10" s="1588">
        <v>28.281126022338867</v>
      </c>
      <c r="G10" s="1581">
        <v>1.0660000000000001</v>
      </c>
      <c r="H10" s="1582">
        <f t="shared" si="1"/>
        <v>6.6134334635818508</v>
      </c>
      <c r="I10" s="1592">
        <v>97.55</v>
      </c>
      <c r="J10" s="1593">
        <v>0</v>
      </c>
      <c r="K10" s="1594">
        <v>0</v>
      </c>
      <c r="L10" s="1594">
        <v>1.1200000000000001</v>
      </c>
      <c r="M10" s="1595">
        <f>100-SUM(I10:L10)</f>
        <v>1.3299999999999983</v>
      </c>
      <c r="N10" s="1585">
        <f t="shared" si="2"/>
        <v>6.4514043437240955</v>
      </c>
      <c r="O10" s="1586">
        <f t="shared" si="0"/>
        <v>0</v>
      </c>
      <c r="P10" s="1587">
        <f t="shared" si="3"/>
        <v>8.79586650656385E-2</v>
      </c>
      <c r="Q10" s="1585">
        <f t="shared" si="4"/>
        <v>6.5239316640413767</v>
      </c>
      <c r="R10" s="1587">
        <f t="shared" si="5"/>
        <v>2.2375449885118564E-2</v>
      </c>
      <c r="T10" s="1565"/>
    </row>
    <row r="11" spans="2:20" ht="20.100000000000001" customHeight="1">
      <c r="B11" s="1576" t="s">
        <v>707</v>
      </c>
      <c r="C11" s="1577" t="s">
        <v>708</v>
      </c>
      <c r="D11" s="1578">
        <v>240.06626361744438</v>
      </c>
      <c r="E11" s="1579">
        <v>19.803814690066659</v>
      </c>
      <c r="F11" s="1596">
        <v>45.497539520263672</v>
      </c>
      <c r="G11" s="1581">
        <v>1.0866419175763997</v>
      </c>
      <c r="H11" s="1582">
        <f t="shared" si="1"/>
        <v>270.6569786583209</v>
      </c>
      <c r="I11" s="1597">
        <v>69.77</v>
      </c>
      <c r="J11" s="1583">
        <v>0</v>
      </c>
      <c r="K11" s="1598">
        <v>26.23</v>
      </c>
      <c r="L11" s="1598">
        <v>0.01</v>
      </c>
      <c r="M11" s="1595">
        <f>100-SUM(I11:L11)</f>
        <v>3.9899999999999949</v>
      </c>
      <c r="N11" s="1585">
        <f t="shared" si="2"/>
        <v>188.83737400991049</v>
      </c>
      <c r="O11" s="1586">
        <f t="shared" si="0"/>
        <v>0</v>
      </c>
      <c r="P11" s="1587">
        <f>H11*(K11+M11)/100</f>
        <v>81.792538950544554</v>
      </c>
      <c r="Q11" s="1585">
        <f t="shared" si="4"/>
        <v>256.28034472351737</v>
      </c>
      <c r="R11" s="1587">
        <f>O11+(P11*58/228)</f>
        <v>20.80687394355958</v>
      </c>
      <c r="T11" s="1565"/>
    </row>
    <row r="12" spans="2:20" ht="20.100000000000001" customHeight="1">
      <c r="B12" s="1576" t="s">
        <v>709</v>
      </c>
      <c r="C12" s="1577" t="s">
        <v>710</v>
      </c>
      <c r="D12" s="1578">
        <v>240.06626361744438</v>
      </c>
      <c r="E12" s="1579">
        <v>19.803814690066659</v>
      </c>
      <c r="F12" s="1588">
        <v>29.850557327270508</v>
      </c>
      <c r="G12" s="1581">
        <v>1.0963395079536569</v>
      </c>
      <c r="H12" s="1582">
        <f t="shared" si="1"/>
        <v>269.67519411506623</v>
      </c>
      <c r="I12" s="1597">
        <v>70.06</v>
      </c>
      <c r="J12" s="1583">
        <v>0</v>
      </c>
      <c r="K12" s="1598">
        <v>25.84</v>
      </c>
      <c r="L12" s="1598">
        <v>7.0000000000000007E-2</v>
      </c>
      <c r="M12" s="1595">
        <f t="shared" ref="M12:M38" si="6">100-SUM(I12:L12)</f>
        <v>4.0300000000000011</v>
      </c>
      <c r="N12" s="1585">
        <f t="shared" si="2"/>
        <v>188.9344409970154</v>
      </c>
      <c r="O12" s="1586">
        <f t="shared" si="0"/>
        <v>0</v>
      </c>
      <c r="P12" s="1587">
        <f t="shared" si="3"/>
        <v>80.551980482170279</v>
      </c>
      <c r="Q12" s="1585">
        <f t="shared" si="4"/>
        <v>255.35449507880492</v>
      </c>
      <c r="R12" s="1587">
        <f t="shared" si="5"/>
        <v>20.491293280552089</v>
      </c>
      <c r="T12" s="1565"/>
    </row>
    <row r="13" spans="2:20" ht="20.100000000000001" customHeight="1">
      <c r="B13" s="1576" t="s">
        <v>711</v>
      </c>
      <c r="C13" s="1577" t="s">
        <v>712</v>
      </c>
      <c r="D13" s="1578">
        <v>240.06626361744438</v>
      </c>
      <c r="E13" s="1579">
        <v>19.803814690066659</v>
      </c>
      <c r="F13" s="1588">
        <v>30.273162841796875</v>
      </c>
      <c r="G13" s="1589">
        <v>1.0736447089099972</v>
      </c>
      <c r="H13" s="1582">
        <f t="shared" si="1"/>
        <v>264.18263257411957</v>
      </c>
      <c r="I13" s="1597">
        <v>76.150000000000006</v>
      </c>
      <c r="J13" s="1583">
        <v>0</v>
      </c>
      <c r="K13" s="1598">
        <v>23.57</v>
      </c>
      <c r="L13" s="1598">
        <v>0.1</v>
      </c>
      <c r="M13" s="1595">
        <f t="shared" si="6"/>
        <v>0.18000000000000682</v>
      </c>
      <c r="N13" s="1585">
        <f t="shared" si="2"/>
        <v>201.17507470519206</v>
      </c>
      <c r="O13" s="1586">
        <f t="shared" si="0"/>
        <v>0</v>
      </c>
      <c r="P13" s="1587">
        <f t="shared" si="3"/>
        <v>62.743375236353415</v>
      </c>
      <c r="Q13" s="1585">
        <f t="shared" si="4"/>
        <v>252.91084025095716</v>
      </c>
      <c r="R13" s="1587">
        <f t="shared" si="5"/>
        <v>15.961034051353062</v>
      </c>
      <c r="T13" s="1565"/>
    </row>
    <row r="14" spans="2:20" ht="19.5" customHeight="1">
      <c r="B14" s="1576" t="s">
        <v>713</v>
      </c>
      <c r="C14" s="1577" t="s">
        <v>714</v>
      </c>
      <c r="D14" s="1578">
        <v>240.06626361744438</v>
      </c>
      <c r="E14" s="1579">
        <v>19.803814690066659</v>
      </c>
      <c r="F14" s="1588">
        <v>20.940933227539063</v>
      </c>
      <c r="G14" s="1589">
        <v>1.0837721531363733</v>
      </c>
      <c r="H14" s="1582">
        <f t="shared" si="1"/>
        <v>264.67164682558666</v>
      </c>
      <c r="I14" s="1597">
        <v>75.739999999999995</v>
      </c>
      <c r="J14" s="1583">
        <v>0</v>
      </c>
      <c r="K14" s="1598">
        <v>23.86</v>
      </c>
      <c r="L14" s="1598">
        <v>0.1</v>
      </c>
      <c r="M14" s="1595">
        <f t="shared" si="6"/>
        <v>0.30000000000001137</v>
      </c>
      <c r="N14" s="1585">
        <f t="shared" si="2"/>
        <v>200.46230530569935</v>
      </c>
      <c r="O14" s="1586">
        <f t="shared" si="0"/>
        <v>0</v>
      </c>
      <c r="P14" s="1587">
        <f t="shared" si="3"/>
        <v>63.94466987306177</v>
      </c>
      <c r="Q14" s="1585">
        <f t="shared" si="4"/>
        <v>253.18861204313623</v>
      </c>
      <c r="R14" s="1587">
        <f t="shared" si="5"/>
        <v>16.266626546656063</v>
      </c>
      <c r="T14" s="1565"/>
    </row>
    <row r="15" spans="2:20" ht="20.100000000000001" customHeight="1">
      <c r="B15" s="1576" t="s">
        <v>715</v>
      </c>
      <c r="C15" s="1577" t="s">
        <v>716</v>
      </c>
      <c r="D15" s="1599" t="s">
        <v>17</v>
      </c>
      <c r="E15" s="1599" t="s">
        <v>17</v>
      </c>
      <c r="F15" s="1600">
        <v>21.223443984985352</v>
      </c>
      <c r="G15" s="1581">
        <v>1.0866419175763997</v>
      </c>
      <c r="H15" s="1582">
        <f>44.6952*G15</f>
        <v>48.567677834460703</v>
      </c>
      <c r="I15" s="1592">
        <v>65.06</v>
      </c>
      <c r="J15" s="1593">
        <v>0</v>
      </c>
      <c r="K15" s="1594">
        <v>25.79</v>
      </c>
      <c r="L15" s="1594">
        <v>0.02</v>
      </c>
      <c r="M15" s="1595">
        <f t="shared" si="6"/>
        <v>9.1300000000000097</v>
      </c>
      <c r="N15" s="1585">
        <f t="shared" si="2"/>
        <v>31.598131199100134</v>
      </c>
      <c r="O15" s="1586">
        <f t="shared" si="0"/>
        <v>0</v>
      </c>
      <c r="P15" s="1587">
        <f t="shared" si="3"/>
        <v>16.959833099793681</v>
      </c>
      <c r="Q15" s="1585">
        <f t="shared" si="4"/>
        <v>45.58255498314054</v>
      </c>
      <c r="R15" s="1587">
        <f t="shared" si="5"/>
        <v>4.3143435078422518</v>
      </c>
      <c r="T15" s="1565"/>
    </row>
    <row r="16" spans="2:20" ht="20.100000000000001" customHeight="1">
      <c r="B16" s="1576" t="s">
        <v>717</v>
      </c>
      <c r="C16" s="1577" t="s">
        <v>716</v>
      </c>
      <c r="D16" s="1599" t="s">
        <v>17</v>
      </c>
      <c r="E16" s="1599" t="s">
        <v>17</v>
      </c>
      <c r="F16" s="1601"/>
      <c r="G16" s="1581">
        <v>1.0963395079536569</v>
      </c>
      <c r="H16" s="1582">
        <f>44.6952*G16</f>
        <v>49.001113575890287</v>
      </c>
      <c r="I16" s="1592">
        <v>65.19</v>
      </c>
      <c r="J16" s="1593">
        <v>0</v>
      </c>
      <c r="K16" s="1594">
        <v>25.78</v>
      </c>
      <c r="L16" s="1594">
        <v>0.01</v>
      </c>
      <c r="M16" s="1595">
        <f t="shared" si="6"/>
        <v>9.019999999999996</v>
      </c>
      <c r="N16" s="1585">
        <f t="shared" si="2"/>
        <v>31.943825940122878</v>
      </c>
      <c r="O16" s="1586">
        <f t="shared" si="0"/>
        <v>0</v>
      </c>
      <c r="P16" s="1587">
        <f t="shared" si="3"/>
        <v>17.05238752440982</v>
      </c>
      <c r="Q16" s="1585">
        <f t="shared" si="4"/>
        <v>46.004566530425713</v>
      </c>
      <c r="R16" s="1587">
        <f t="shared" si="5"/>
        <v>4.3378880544551297</v>
      </c>
      <c r="T16" s="1565"/>
    </row>
    <row r="17" spans="2:20" ht="20.100000000000001" customHeight="1">
      <c r="B17" s="1576" t="s">
        <v>718</v>
      </c>
      <c r="C17" s="1577" t="s">
        <v>719</v>
      </c>
      <c r="D17" s="1578">
        <v>4.948016694115406</v>
      </c>
      <c r="E17" s="1579">
        <v>14.137166941154067</v>
      </c>
      <c r="F17" s="1602">
        <v>58.715152740478516</v>
      </c>
      <c r="G17" s="1581">
        <v>1.08</v>
      </c>
      <c r="H17" s="1582">
        <f>(E17*F17/100+D17)*G17</f>
        <v>14.308569925333687</v>
      </c>
      <c r="I17" s="1592">
        <v>79.66</v>
      </c>
      <c r="J17" s="1593">
        <v>0</v>
      </c>
      <c r="K17" s="1594">
        <v>9.6999999999999993</v>
      </c>
      <c r="L17" s="1594">
        <v>0.03</v>
      </c>
      <c r="M17" s="1595">
        <f t="shared" si="6"/>
        <v>10.61</v>
      </c>
      <c r="N17" s="1585">
        <f t="shared" si="2"/>
        <v>11.398206802520814</v>
      </c>
      <c r="O17" s="1586">
        <f t="shared" si="0"/>
        <v>0</v>
      </c>
      <c r="P17" s="1587">
        <f t="shared" si="3"/>
        <v>2.9060705518352719</v>
      </c>
      <c r="Q17" s="1585">
        <f t="shared" si="4"/>
        <v>13.794440415437617</v>
      </c>
      <c r="R17" s="1587">
        <f t="shared" si="5"/>
        <v>0.73926356143177974</v>
      </c>
      <c r="T17" s="1565"/>
    </row>
    <row r="18" spans="2:20" ht="20.100000000000001" customHeight="1">
      <c r="B18" s="1576" t="s">
        <v>720</v>
      </c>
      <c r="C18" s="1577" t="s">
        <v>716</v>
      </c>
      <c r="D18" s="1599" t="s">
        <v>17</v>
      </c>
      <c r="E18" s="1599" t="s">
        <v>17</v>
      </c>
      <c r="F18" s="1601"/>
      <c r="G18" s="1581">
        <v>1.0736447089099972</v>
      </c>
      <c r="H18" s="1582">
        <f>44.6952*G18</f>
        <v>47.986764993674107</v>
      </c>
      <c r="I18" s="1592">
        <v>70.209999999999994</v>
      </c>
      <c r="J18" s="1593">
        <v>0</v>
      </c>
      <c r="K18" s="1594">
        <v>24.25</v>
      </c>
      <c r="L18" s="1594">
        <v>0.09</v>
      </c>
      <c r="M18" s="1595">
        <f t="shared" si="6"/>
        <v>5.4500000000000028</v>
      </c>
      <c r="N18" s="1585">
        <f t="shared" si="2"/>
        <v>33.691507702058587</v>
      </c>
      <c r="O18" s="1586">
        <f t="shared" si="0"/>
        <v>0</v>
      </c>
      <c r="P18" s="1587">
        <f t="shared" si="3"/>
        <v>14.252069203121211</v>
      </c>
      <c r="Q18" s="1585">
        <f t="shared" si="4"/>
        <v>45.443213887088362</v>
      </c>
      <c r="R18" s="1587">
        <f t="shared" si="5"/>
        <v>3.6255263762325889</v>
      </c>
      <c r="T18" s="1565"/>
    </row>
    <row r="19" spans="2:20" ht="20.100000000000001" customHeight="1">
      <c r="B19" s="1576" t="s">
        <v>721</v>
      </c>
      <c r="C19" s="1577" t="s">
        <v>716</v>
      </c>
      <c r="D19" s="1599" t="s">
        <v>17</v>
      </c>
      <c r="E19" s="1599" t="s">
        <v>17</v>
      </c>
      <c r="F19" s="1601"/>
      <c r="G19" s="1581">
        <v>1.0837721531363733</v>
      </c>
      <c r="H19" s="1582">
        <f>44.6952*G19</f>
        <v>48.439413138860836</v>
      </c>
      <c r="I19" s="1592">
        <v>70.680000000000007</v>
      </c>
      <c r="J19" s="1593">
        <v>0</v>
      </c>
      <c r="K19" s="1594">
        <v>24.79</v>
      </c>
      <c r="L19" s="1594">
        <v>0.08</v>
      </c>
      <c r="M19" s="1595">
        <f t="shared" si="6"/>
        <v>4.4500000000000028</v>
      </c>
      <c r="N19" s="1585">
        <f t="shared" si="2"/>
        <v>34.236977206546847</v>
      </c>
      <c r="O19" s="1586">
        <f t="shared" si="0"/>
        <v>0</v>
      </c>
      <c r="P19" s="1587">
        <f t="shared" si="3"/>
        <v>14.163684401802909</v>
      </c>
      <c r="Q19" s="1585">
        <f t="shared" si="4"/>
        <v>45.915804695752755</v>
      </c>
      <c r="R19" s="1587">
        <f t="shared" si="5"/>
        <v>3.6030425232656524</v>
      </c>
      <c r="T19" s="1565"/>
    </row>
    <row r="20" spans="2:20" ht="20.100000000000001" customHeight="1">
      <c r="B20" s="1576" t="s">
        <v>722</v>
      </c>
      <c r="C20" s="1577" t="s">
        <v>723</v>
      </c>
      <c r="D20" s="1578">
        <v>4.948016694115406</v>
      </c>
      <c r="E20" s="1579">
        <v>14.137166941154067</v>
      </c>
      <c r="F20" s="1603">
        <v>54.444816589355469</v>
      </c>
      <c r="G20" s="1581">
        <v>1.0649999999999999</v>
      </c>
      <c r="H20" s="1582">
        <f t="shared" si="1"/>
        <v>13.466894441057985</v>
      </c>
      <c r="I20" s="1592">
        <v>98.93</v>
      </c>
      <c r="J20" s="1593">
        <v>0</v>
      </c>
      <c r="K20" s="1594">
        <v>0.87</v>
      </c>
      <c r="L20" s="1594">
        <v>0.16</v>
      </c>
      <c r="M20" s="1595">
        <v>3.9999999999992042E-2</v>
      </c>
      <c r="N20" s="1585">
        <f t="shared" si="2"/>
        <v>13.322798670538667</v>
      </c>
      <c r="O20" s="1586">
        <f t="shared" si="0"/>
        <v>0</v>
      </c>
      <c r="P20" s="1587">
        <f t="shared" si="3"/>
        <v>0.1225487394136266</v>
      </c>
      <c r="Q20" s="1585">
        <f t="shared" si="4"/>
        <v>13.423847631107797</v>
      </c>
      <c r="R20" s="1587">
        <f t="shared" si="5"/>
        <v>3.1174679324519047E-2</v>
      </c>
      <c r="T20" s="1565"/>
    </row>
    <row r="21" spans="2:20" ht="20.100000000000001" customHeight="1">
      <c r="B21" s="1576" t="s">
        <v>724</v>
      </c>
      <c r="C21" s="1577" t="s">
        <v>725</v>
      </c>
      <c r="D21" s="1578">
        <v>0.53616639999999993</v>
      </c>
      <c r="E21" s="1579">
        <v>4.8254863159139223</v>
      </c>
      <c r="F21" s="1603">
        <v>68.366355895996094</v>
      </c>
      <c r="G21" s="1581">
        <v>1.056</v>
      </c>
      <c r="H21" s="1582">
        <f t="shared" si="1"/>
        <v>4.0499453791635194</v>
      </c>
      <c r="I21" s="1592">
        <v>98.93</v>
      </c>
      <c r="J21" s="1593">
        <v>0</v>
      </c>
      <c r="K21" s="1594">
        <v>0.87</v>
      </c>
      <c r="L21" s="1594">
        <v>0.16</v>
      </c>
      <c r="M21" s="1595">
        <v>3.9999999999992042E-2</v>
      </c>
      <c r="N21" s="1585">
        <f t="shared" si="2"/>
        <v>4.0066109636064695</v>
      </c>
      <c r="O21" s="1586">
        <f t="shared" si="0"/>
        <v>0</v>
      </c>
      <c r="P21" s="1587">
        <f t="shared" si="3"/>
        <v>3.6854502950387703E-2</v>
      </c>
      <c r="Q21" s="1585">
        <f t="shared" si="4"/>
        <v>4.0369997642848592</v>
      </c>
      <c r="R21" s="1587">
        <f t="shared" si="5"/>
        <v>9.3752682943968706E-3</v>
      </c>
      <c r="T21" s="1565"/>
    </row>
    <row r="22" spans="2:20" ht="20.100000000000001" customHeight="1">
      <c r="B22" s="1576" t="s">
        <v>726</v>
      </c>
      <c r="C22" s="1577" t="s">
        <v>727</v>
      </c>
      <c r="D22" s="1578">
        <v>0.53616639999999993</v>
      </c>
      <c r="E22" s="1579">
        <v>4.8254863159139223</v>
      </c>
      <c r="F22" s="1603">
        <v>50.011734008789062</v>
      </c>
      <c r="G22" s="1581">
        <v>1.0747807961326334</v>
      </c>
      <c r="H22" s="1582">
        <f t="shared" si="1"/>
        <v>3.1700399280184022</v>
      </c>
      <c r="I22" s="1592">
        <v>98.93</v>
      </c>
      <c r="J22" s="1593">
        <v>0</v>
      </c>
      <c r="K22" s="1594">
        <v>0.87</v>
      </c>
      <c r="L22" s="1594">
        <v>0.16</v>
      </c>
      <c r="M22" s="1595">
        <v>3.9999999999992042E-2</v>
      </c>
      <c r="N22" s="1585">
        <f t="shared" si="2"/>
        <v>3.1361205007886053</v>
      </c>
      <c r="O22" s="1586">
        <f t="shared" si="0"/>
        <v>0</v>
      </c>
      <c r="P22" s="1587">
        <f t="shared" si="3"/>
        <v>2.8847363344967208E-2</v>
      </c>
      <c r="Q22" s="1585">
        <f t="shared" si="4"/>
        <v>3.1599069231958588</v>
      </c>
      <c r="R22" s="1587">
        <f t="shared" si="5"/>
        <v>7.3383643596846406E-3</v>
      </c>
      <c r="T22" s="1565"/>
    </row>
    <row r="23" spans="2:20" ht="20.100000000000001" customHeight="1">
      <c r="B23" s="1576" t="s">
        <v>728</v>
      </c>
      <c r="C23" s="1577" t="s">
        <v>729</v>
      </c>
      <c r="D23" s="1578">
        <v>0.53616639999999993</v>
      </c>
      <c r="E23" s="1579">
        <v>4.8254863159139223</v>
      </c>
      <c r="F23" s="1603">
        <v>72.1129150390625</v>
      </c>
      <c r="G23" s="1581">
        <v>1.056</v>
      </c>
      <c r="H23" s="1582">
        <f t="shared" si="1"/>
        <v>4.2408593010607225</v>
      </c>
      <c r="I23" s="1592">
        <v>98.93</v>
      </c>
      <c r="J23" s="1593">
        <v>0</v>
      </c>
      <c r="K23" s="1594">
        <v>0.87</v>
      </c>
      <c r="L23" s="1594">
        <v>0.16</v>
      </c>
      <c r="M23" s="1595">
        <v>3.9999999999992042E-2</v>
      </c>
      <c r="N23" s="1585">
        <f t="shared" si="2"/>
        <v>4.195482106539373</v>
      </c>
      <c r="O23" s="1586">
        <f t="shared" si="0"/>
        <v>0</v>
      </c>
      <c r="P23" s="1587">
        <f t="shared" si="3"/>
        <v>3.8591819639652233E-2</v>
      </c>
      <c r="Q23" s="1585">
        <f t="shared" si="4"/>
        <v>4.2273034315054021</v>
      </c>
      <c r="R23" s="1587">
        <f t="shared" si="5"/>
        <v>9.817217276753637E-3</v>
      </c>
      <c r="T23" s="1565"/>
    </row>
    <row r="24" spans="2:20" ht="20.100000000000001" customHeight="1">
      <c r="B24" s="1576" t="s">
        <v>730</v>
      </c>
      <c r="C24" s="1577" t="s">
        <v>731</v>
      </c>
      <c r="D24" s="1578">
        <v>0.53616639999999993</v>
      </c>
      <c r="E24" s="1579">
        <v>4.8254863159139223</v>
      </c>
      <c r="F24" s="1603">
        <v>50.022087097167969</v>
      </c>
      <c r="G24" s="1581">
        <v>1.0747807961326334</v>
      </c>
      <c r="H24" s="1582">
        <f t="shared" si="1"/>
        <v>3.1705768743847531</v>
      </c>
      <c r="I24" s="1592">
        <v>98.93</v>
      </c>
      <c r="J24" s="1593">
        <v>0</v>
      </c>
      <c r="K24" s="1594">
        <v>0.87</v>
      </c>
      <c r="L24" s="1594">
        <v>0.16</v>
      </c>
      <c r="M24" s="1595">
        <v>3.9999999999992042E-2</v>
      </c>
      <c r="N24" s="1585">
        <f t="shared" si="2"/>
        <v>3.1366517018288365</v>
      </c>
      <c r="O24" s="1586">
        <f t="shared" si="0"/>
        <v>0</v>
      </c>
      <c r="P24" s="1587">
        <f t="shared" si="3"/>
        <v>2.8852249556901001E-2</v>
      </c>
      <c r="Q24" s="1585">
        <f t="shared" si="4"/>
        <v>3.1604421532178599</v>
      </c>
      <c r="R24" s="1587">
        <f t="shared" si="5"/>
        <v>7.3396073434221845E-3</v>
      </c>
      <c r="T24" s="1565"/>
    </row>
    <row r="25" spans="2:20" ht="20.100000000000001" customHeight="1">
      <c r="B25" s="1576" t="s">
        <v>732</v>
      </c>
      <c r="C25" s="1577" t="s">
        <v>733</v>
      </c>
      <c r="D25" s="1578">
        <v>2.8735167999999995</v>
      </c>
      <c r="E25" s="1579">
        <v>27.708847204661975</v>
      </c>
      <c r="F25" s="1603">
        <v>42.812557220458984</v>
      </c>
      <c r="G25" s="1581">
        <v>1.056</v>
      </c>
      <c r="H25" s="1582">
        <f t="shared" si="1"/>
        <v>15.561620305044483</v>
      </c>
      <c r="I25" s="1592">
        <v>98.93</v>
      </c>
      <c r="J25" s="1593">
        <v>0</v>
      </c>
      <c r="K25" s="1594">
        <v>0.87</v>
      </c>
      <c r="L25" s="1594">
        <v>0.16</v>
      </c>
      <c r="M25" s="1595">
        <v>3.9999999999992042E-2</v>
      </c>
      <c r="N25" s="1585">
        <f t="shared" si="2"/>
        <v>15.395110967780509</v>
      </c>
      <c r="O25" s="1586">
        <f t="shared" si="0"/>
        <v>0</v>
      </c>
      <c r="P25" s="1587">
        <f t="shared" si="3"/>
        <v>0.14161074477590355</v>
      </c>
      <c r="Q25" s="1585">
        <f t="shared" si="4"/>
        <v>15.511877722244851</v>
      </c>
      <c r="R25" s="1587">
        <f t="shared" si="5"/>
        <v>3.602378595176494E-2</v>
      </c>
      <c r="T25" s="1565"/>
    </row>
    <row r="26" spans="2:20" ht="20.100000000000001" customHeight="1">
      <c r="B26" s="1576" t="s">
        <v>734</v>
      </c>
      <c r="C26" s="1577" t="s">
        <v>735</v>
      </c>
      <c r="D26" s="1578">
        <v>7.2700490998194631</v>
      </c>
      <c r="E26" s="1579">
        <v>20.527166398555707</v>
      </c>
      <c r="F26" s="1603">
        <v>42.507274627685547</v>
      </c>
      <c r="G26" s="1581">
        <v>1.0871348411432968</v>
      </c>
      <c r="H26" s="1582">
        <f t="shared" si="1"/>
        <v>17.389361121711634</v>
      </c>
      <c r="I26" s="1592">
        <v>98.93</v>
      </c>
      <c r="J26" s="1593">
        <v>0</v>
      </c>
      <c r="K26" s="1594">
        <v>0.87</v>
      </c>
      <c r="L26" s="1594">
        <v>0.16</v>
      </c>
      <c r="M26" s="1595">
        <v>3.9999999999992042E-2</v>
      </c>
      <c r="N26" s="1585">
        <f t="shared" si="2"/>
        <v>17.203294957709321</v>
      </c>
      <c r="O26" s="1586">
        <f t="shared" si="0"/>
        <v>0</v>
      </c>
      <c r="P26" s="1587">
        <f t="shared" si="3"/>
        <v>0.15824318620757449</v>
      </c>
      <c r="Q26" s="1585">
        <f t="shared" si="4"/>
        <v>17.333776181424337</v>
      </c>
      <c r="R26" s="1587">
        <f t="shared" si="5"/>
        <v>4.025484561420755E-2</v>
      </c>
      <c r="T26" s="1565"/>
    </row>
    <row r="27" spans="2:20" ht="20.100000000000001" customHeight="1">
      <c r="B27" s="1576" t="s">
        <v>736</v>
      </c>
      <c r="C27" s="1577" t="s">
        <v>737</v>
      </c>
      <c r="D27" s="1578">
        <v>3.5342999999999996</v>
      </c>
      <c r="E27" s="1579">
        <v>9.8960168588078474</v>
      </c>
      <c r="F27" s="1603">
        <v>57.04296875</v>
      </c>
      <c r="G27" s="1581">
        <v>1.0569999999999999</v>
      </c>
      <c r="H27" s="1582">
        <f t="shared" si="1"/>
        <v>9.7025008671075668</v>
      </c>
      <c r="I27" s="1592">
        <v>98.93</v>
      </c>
      <c r="J27" s="1593">
        <v>0</v>
      </c>
      <c r="K27" s="1594">
        <v>0.87</v>
      </c>
      <c r="L27" s="1594">
        <v>0.16</v>
      </c>
      <c r="M27" s="1595">
        <v>3.9999999999992042E-2</v>
      </c>
      <c r="N27" s="1585">
        <f t="shared" si="2"/>
        <v>9.5986841078295164</v>
      </c>
      <c r="O27" s="1586">
        <f t="shared" si="0"/>
        <v>0</v>
      </c>
      <c r="P27" s="1587">
        <f t="shared" si="3"/>
        <v>8.8292757890678086E-2</v>
      </c>
      <c r="Q27" s="1585">
        <f t="shared" si="4"/>
        <v>9.6714869081955133</v>
      </c>
      <c r="R27" s="1587">
        <f t="shared" si="5"/>
        <v>2.2460438410786529E-2</v>
      </c>
      <c r="T27" s="1565"/>
    </row>
    <row r="28" spans="2:20" ht="20.100000000000001" customHeight="1">
      <c r="B28" s="1576" t="s">
        <v>738</v>
      </c>
      <c r="C28" s="1577" t="s">
        <v>739</v>
      </c>
      <c r="D28" s="1578">
        <v>3.5342999999999996</v>
      </c>
      <c r="E28" s="1579">
        <v>9.8960168588078474</v>
      </c>
      <c r="F28" s="1603">
        <v>55.020484924316406</v>
      </c>
      <c r="G28" s="1581">
        <v>1.0569999999999999</v>
      </c>
      <c r="H28" s="1582">
        <f t="shared" si="1"/>
        <v>9.4909472423509467</v>
      </c>
      <c r="I28" s="1592">
        <v>98.93</v>
      </c>
      <c r="J28" s="1593">
        <v>0</v>
      </c>
      <c r="K28" s="1594">
        <v>0.87</v>
      </c>
      <c r="L28" s="1594">
        <v>0.16</v>
      </c>
      <c r="M28" s="1595">
        <v>3.9999999999992042E-2</v>
      </c>
      <c r="N28" s="1585">
        <f t="shared" si="2"/>
        <v>9.3893941068577913</v>
      </c>
      <c r="O28" s="1586">
        <f t="shared" si="0"/>
        <v>0</v>
      </c>
      <c r="P28" s="1587">
        <f t="shared" si="3"/>
        <v>8.6367619905392864E-2</v>
      </c>
      <c r="Q28" s="1585">
        <f t="shared" si="4"/>
        <v>9.4606095127446945</v>
      </c>
      <c r="R28" s="1587">
        <f t="shared" si="5"/>
        <v>2.1970710326810465E-2</v>
      </c>
      <c r="T28" s="1565"/>
    </row>
    <row r="29" spans="2:20" ht="20.100000000000001" customHeight="1">
      <c r="B29" s="1604" t="s">
        <v>740</v>
      </c>
      <c r="C29" s="1577" t="s">
        <v>716</v>
      </c>
      <c r="D29" s="1605" t="s">
        <v>17</v>
      </c>
      <c r="E29" s="1599" t="s">
        <v>17</v>
      </c>
      <c r="F29" s="1601"/>
      <c r="G29" s="1581">
        <v>1.0620000000000001</v>
      </c>
      <c r="H29" s="1606">
        <f>(282.78642-135)*G29</f>
        <v>156.94917804000002</v>
      </c>
      <c r="I29" s="1607">
        <v>69.900000000000006</v>
      </c>
      <c r="J29" s="1608">
        <v>0.90600000000000003</v>
      </c>
      <c r="K29" s="1609">
        <v>24.6</v>
      </c>
      <c r="L29" s="1609">
        <v>0.89</v>
      </c>
      <c r="M29" s="1595">
        <f t="shared" si="6"/>
        <v>3.7039999999999935</v>
      </c>
      <c r="N29" s="1585">
        <f t="shared" si="2"/>
        <v>109.70747544996001</v>
      </c>
      <c r="O29" s="1586">
        <f t="shared" si="0"/>
        <v>1.4219595530424001</v>
      </c>
      <c r="P29" s="1587">
        <f t="shared" si="3"/>
        <v>44.4228953524416</v>
      </c>
      <c r="Q29" s="1585">
        <f>N29+(P29*2*94/228)</f>
        <v>146.33688038969257</v>
      </c>
      <c r="R29" s="1587">
        <f t="shared" si="5"/>
        <v>12.722520651470527</v>
      </c>
      <c r="T29" s="1565"/>
    </row>
    <row r="30" spans="2:20" ht="20.100000000000001" customHeight="1">
      <c r="B30" s="1604" t="s">
        <v>741</v>
      </c>
      <c r="C30" s="1577" t="s">
        <v>716</v>
      </c>
      <c r="D30" s="1605" t="s">
        <v>17</v>
      </c>
      <c r="E30" s="1599" t="s">
        <v>17</v>
      </c>
      <c r="F30" s="1601" t="s">
        <v>742</v>
      </c>
      <c r="G30" s="1581">
        <v>1.0620000000000001</v>
      </c>
      <c r="H30" s="1606">
        <f>(282.78642-135)*G30</f>
        <v>156.94917804000002</v>
      </c>
      <c r="I30" s="1607">
        <v>70.06</v>
      </c>
      <c r="J30" s="1608">
        <v>1.0509999999999999</v>
      </c>
      <c r="K30" s="1609">
        <v>24.47</v>
      </c>
      <c r="L30" s="1609">
        <v>0.73</v>
      </c>
      <c r="M30" s="1595">
        <f>100-SUM(I30:L30)</f>
        <v>3.688999999999993</v>
      </c>
      <c r="N30" s="1610">
        <f t="shared" si="2"/>
        <v>109.95859413482401</v>
      </c>
      <c r="O30" s="1586">
        <f t="shared" si="0"/>
        <v>1.6495358612004001</v>
      </c>
      <c r="P30" s="1587">
        <f>H30*(K30+M30)/100</f>
        <v>44.195319044283593</v>
      </c>
      <c r="Q30" s="1585">
        <f t="shared" si="4"/>
        <v>146.40034843449644</v>
      </c>
      <c r="R30" s="1587">
        <f t="shared" si="5"/>
        <v>12.892204740886577</v>
      </c>
      <c r="T30" s="1565"/>
    </row>
    <row r="31" spans="2:20" ht="20.100000000000001" customHeight="1">
      <c r="B31" s="1611" t="s">
        <v>743</v>
      </c>
      <c r="C31" s="1604" t="s">
        <v>744</v>
      </c>
      <c r="D31" s="1612">
        <v>0</v>
      </c>
      <c r="E31" s="1613">
        <v>15.63</v>
      </c>
      <c r="F31" s="1603">
        <v>55.011123657226563</v>
      </c>
      <c r="G31" s="1614">
        <v>1.034</v>
      </c>
      <c r="H31" s="1582">
        <f t="shared" si="1"/>
        <v>8.8905787409637469</v>
      </c>
      <c r="I31" s="1615">
        <v>99.78</v>
      </c>
      <c r="J31" s="1616">
        <v>0</v>
      </c>
      <c r="K31" s="1617">
        <v>0.2</v>
      </c>
      <c r="L31" s="1617">
        <v>0</v>
      </c>
      <c r="M31" s="1595">
        <f t="shared" si="6"/>
        <v>1.9999999999996021E-2</v>
      </c>
      <c r="N31" s="1610">
        <f t="shared" si="2"/>
        <v>8.8710194677336265</v>
      </c>
      <c r="O31" s="1586">
        <f t="shared" si="0"/>
        <v>0</v>
      </c>
      <c r="P31" s="1587">
        <f t="shared" si="3"/>
        <v>1.955927323011989E-2</v>
      </c>
      <c r="Q31" s="1585">
        <f t="shared" si="4"/>
        <v>8.8871472895198664</v>
      </c>
      <c r="R31" s="1587">
        <f t="shared" si="5"/>
        <v>4.9756045936269894E-3</v>
      </c>
      <c r="T31" s="1565"/>
    </row>
    <row r="32" spans="2:20" ht="20.100000000000001" customHeight="1">
      <c r="B32" s="1611" t="s">
        <v>745</v>
      </c>
      <c r="C32" s="1604" t="s">
        <v>746</v>
      </c>
      <c r="D32" s="1612">
        <v>0</v>
      </c>
      <c r="E32" s="1613">
        <v>0</v>
      </c>
      <c r="F32" s="1603">
        <v>60.0550537109375</v>
      </c>
      <c r="G32" s="1614">
        <v>1.0329999999999999</v>
      </c>
      <c r="H32" s="1582">
        <f t="shared" si="1"/>
        <v>0</v>
      </c>
      <c r="I32" s="1615">
        <v>99.29</v>
      </c>
      <c r="J32" s="1616">
        <v>0</v>
      </c>
      <c r="K32" s="1617">
        <v>0.47</v>
      </c>
      <c r="L32" s="1617">
        <v>0.22</v>
      </c>
      <c r="M32" s="1595">
        <f t="shared" si="6"/>
        <v>1.9999999999996021E-2</v>
      </c>
      <c r="N32" s="1585">
        <f t="shared" si="2"/>
        <v>0</v>
      </c>
      <c r="O32" s="1586">
        <f t="shared" si="0"/>
        <v>0</v>
      </c>
      <c r="P32" s="1587">
        <f t="shared" si="3"/>
        <v>0</v>
      </c>
      <c r="Q32" s="1585">
        <f t="shared" si="4"/>
        <v>0</v>
      </c>
      <c r="R32" s="1587">
        <f t="shared" si="5"/>
        <v>0</v>
      </c>
      <c r="T32" s="1565"/>
    </row>
    <row r="33" spans="2:23" ht="20.100000000000001" customHeight="1">
      <c r="B33" s="1611" t="s">
        <v>747</v>
      </c>
      <c r="C33" s="1604" t="s">
        <v>748</v>
      </c>
      <c r="D33" s="1612">
        <v>0</v>
      </c>
      <c r="E33" s="1613">
        <v>0</v>
      </c>
      <c r="F33" s="1603">
        <v>54.851913452148438</v>
      </c>
      <c r="G33" s="1614">
        <v>1.0249999999999999</v>
      </c>
      <c r="H33" s="1582">
        <f t="shared" si="1"/>
        <v>0</v>
      </c>
      <c r="I33" s="1615">
        <v>26.08</v>
      </c>
      <c r="J33" s="1616">
        <v>0</v>
      </c>
      <c r="K33" s="1617">
        <v>73.86</v>
      </c>
      <c r="L33" s="1617">
        <v>0</v>
      </c>
      <c r="M33" s="1595">
        <f t="shared" si="6"/>
        <v>6.0000000000002274E-2</v>
      </c>
      <c r="N33" s="1585">
        <f t="shared" si="2"/>
        <v>0</v>
      </c>
      <c r="O33" s="1586">
        <f t="shared" si="0"/>
        <v>0</v>
      </c>
      <c r="P33" s="1587">
        <f t="shared" si="3"/>
        <v>0</v>
      </c>
      <c r="Q33" s="1585">
        <f t="shared" si="4"/>
        <v>0</v>
      </c>
      <c r="R33" s="1587">
        <f t="shared" si="5"/>
        <v>0</v>
      </c>
      <c r="T33" s="1565"/>
    </row>
    <row r="34" spans="2:23" ht="20.100000000000001" customHeight="1">
      <c r="B34" s="1611" t="s">
        <v>749</v>
      </c>
      <c r="C34" s="1604" t="s">
        <v>750</v>
      </c>
      <c r="D34" s="1612">
        <v>0</v>
      </c>
      <c r="E34" s="1613">
        <v>0</v>
      </c>
      <c r="F34" s="1603">
        <v>55.503250122070313</v>
      </c>
      <c r="G34" s="1614">
        <v>0.78600000000000003</v>
      </c>
      <c r="H34" s="1582">
        <f t="shared" si="1"/>
        <v>0</v>
      </c>
      <c r="I34" s="1615">
        <v>98.93</v>
      </c>
      <c r="J34" s="1616">
        <v>0</v>
      </c>
      <c r="K34" s="1617">
        <v>0.87</v>
      </c>
      <c r="L34" s="1617">
        <v>0.16</v>
      </c>
      <c r="M34" s="1595">
        <v>3.9999999999992042E-2</v>
      </c>
      <c r="N34" s="1585">
        <f t="shared" si="2"/>
        <v>0</v>
      </c>
      <c r="O34" s="1586">
        <f>H34*J34/100</f>
        <v>0</v>
      </c>
      <c r="P34" s="1587">
        <f t="shared" si="3"/>
        <v>0</v>
      </c>
      <c r="Q34" s="1585">
        <f t="shared" si="4"/>
        <v>0</v>
      </c>
      <c r="R34" s="1587">
        <f t="shared" si="5"/>
        <v>0</v>
      </c>
      <c r="T34" s="1565"/>
      <c r="U34" s="1561" t="s">
        <v>742</v>
      </c>
    </row>
    <row r="35" spans="2:23" ht="20.100000000000001" customHeight="1">
      <c r="B35" s="1611" t="s">
        <v>751</v>
      </c>
      <c r="C35" s="1604" t="s">
        <v>752</v>
      </c>
      <c r="D35" s="1612">
        <v>0</v>
      </c>
      <c r="E35" s="1613">
        <v>70.56</v>
      </c>
      <c r="F35" s="1603">
        <v>50.19683837890625</v>
      </c>
      <c r="G35" s="1614">
        <v>0.72</v>
      </c>
      <c r="H35" s="1582">
        <f t="shared" si="1"/>
        <v>25.501600195312498</v>
      </c>
      <c r="I35" s="1615">
        <v>0</v>
      </c>
      <c r="J35" s="1616">
        <v>99.7</v>
      </c>
      <c r="K35" s="1617">
        <v>0</v>
      </c>
      <c r="L35" s="1617">
        <v>0.24</v>
      </c>
      <c r="M35" s="1595">
        <f t="shared" si="6"/>
        <v>6.0000000000002274E-2</v>
      </c>
      <c r="N35" s="1585">
        <f t="shared" si="2"/>
        <v>0</v>
      </c>
      <c r="O35" s="1586">
        <f t="shared" si="0"/>
        <v>25.425095394726565</v>
      </c>
      <c r="P35" s="1587">
        <f t="shared" si="3"/>
        <v>1.5300960117188078E-2</v>
      </c>
      <c r="Q35" s="1585">
        <f t="shared" si="4"/>
        <v>1.2616581149260344E-2</v>
      </c>
      <c r="R35" s="1587">
        <f>O35+(P35*58/228)</f>
        <v>25.42898774423006</v>
      </c>
      <c r="T35" s="1565"/>
    </row>
    <row r="36" spans="2:23" ht="20.100000000000001" customHeight="1">
      <c r="B36" s="1611" t="s">
        <v>753</v>
      </c>
      <c r="C36" s="1604" t="s">
        <v>754</v>
      </c>
      <c r="D36" s="1612">
        <v>0</v>
      </c>
      <c r="E36" s="1613">
        <v>1.5</v>
      </c>
      <c r="F36" s="1603">
        <v>59.958003997802734</v>
      </c>
      <c r="G36" s="1614">
        <v>0.75700000000000001</v>
      </c>
      <c r="H36" s="1582">
        <f t="shared" si="1"/>
        <v>0.68082313539505002</v>
      </c>
      <c r="I36" s="1615">
        <v>0</v>
      </c>
      <c r="J36" s="1616">
        <v>69.209999999999994</v>
      </c>
      <c r="K36" s="1617">
        <v>0</v>
      </c>
      <c r="L36" s="1617">
        <v>0.12</v>
      </c>
      <c r="M36" s="1595">
        <f t="shared" si="6"/>
        <v>30.67</v>
      </c>
      <c r="N36" s="1585">
        <f t="shared" si="2"/>
        <v>0</v>
      </c>
      <c r="O36" s="1586">
        <f t="shared" si="0"/>
        <v>0.47119769200691408</v>
      </c>
      <c r="P36" s="1587">
        <f t="shared" si="3"/>
        <v>0.20880845562566186</v>
      </c>
      <c r="Q36" s="1585">
        <f t="shared" si="4"/>
        <v>0.17217539323519487</v>
      </c>
      <c r="R36" s="1587">
        <f t="shared" si="5"/>
        <v>0.52431563247309121</v>
      </c>
      <c r="T36" s="1565"/>
      <c r="V36" s="1561" t="s">
        <v>742</v>
      </c>
    </row>
    <row r="37" spans="2:23" ht="20.100000000000001" customHeight="1">
      <c r="B37" s="1611" t="s">
        <v>755</v>
      </c>
      <c r="C37" s="1576" t="s">
        <v>756</v>
      </c>
      <c r="D37" s="1612">
        <v>0</v>
      </c>
      <c r="E37" s="1618">
        <v>8.9</v>
      </c>
      <c r="F37" s="1603">
        <v>61.941806793212891</v>
      </c>
      <c r="G37" s="1614">
        <v>0.76600000000000001</v>
      </c>
      <c r="H37" s="1582">
        <f t="shared" si="1"/>
        <v>4.2228207363204957</v>
      </c>
      <c r="I37" s="1615">
        <v>0</v>
      </c>
      <c r="J37" s="1616">
        <v>97.09</v>
      </c>
      <c r="K37" s="1617">
        <v>0</v>
      </c>
      <c r="L37" s="1617">
        <v>1.6</v>
      </c>
      <c r="M37" s="1595">
        <f t="shared" si="6"/>
        <v>1.3100000000000023</v>
      </c>
      <c r="N37" s="1585">
        <f t="shared" si="2"/>
        <v>0</v>
      </c>
      <c r="O37" s="1586">
        <f t="shared" si="0"/>
        <v>4.0999366528935699</v>
      </c>
      <c r="P37" s="1587">
        <f t="shared" si="3"/>
        <v>5.5318951645798586E-2</v>
      </c>
      <c r="Q37" s="1585">
        <f t="shared" si="4"/>
        <v>4.5613872409693577E-2</v>
      </c>
      <c r="R37" s="1587">
        <f t="shared" si="5"/>
        <v>4.1140090177859223</v>
      </c>
      <c r="T37" s="1565"/>
      <c r="U37" s="1561" t="s">
        <v>742</v>
      </c>
    </row>
    <row r="38" spans="2:23" s="1565" customFormat="1" ht="20.100000000000001" customHeight="1">
      <c r="B38" s="1619" t="s">
        <v>757</v>
      </c>
      <c r="C38" s="1620" t="s">
        <v>758</v>
      </c>
      <c r="D38" s="1621">
        <v>14.48</v>
      </c>
      <c r="E38" s="1622">
        <v>65.14</v>
      </c>
      <c r="F38" s="1588">
        <v>16.914000000000001</v>
      </c>
      <c r="G38" s="1623">
        <v>1.0549999999999999</v>
      </c>
      <c r="H38" s="1624">
        <f t="shared" si="1"/>
        <v>26.900157478000001</v>
      </c>
      <c r="I38" s="1607">
        <v>85.99</v>
      </c>
      <c r="J38" s="1608">
        <v>0</v>
      </c>
      <c r="K38" s="1608">
        <v>11.58</v>
      </c>
      <c r="L38" s="1608">
        <v>2.34</v>
      </c>
      <c r="M38" s="1595">
        <f t="shared" si="6"/>
        <v>9.0000000000003411E-2</v>
      </c>
      <c r="N38" s="1625">
        <f t="shared" si="2"/>
        <v>23.131445415332202</v>
      </c>
      <c r="O38" s="1626">
        <f>J38*H38/100</f>
        <v>0</v>
      </c>
      <c r="P38" s="1627">
        <f>H38*K38/100</f>
        <v>3.1150382359524</v>
      </c>
      <c r="Q38" s="1628">
        <f>N38+(P38*2*94/228)</f>
        <v>25.6999857151526</v>
      </c>
      <c r="R38" s="1629">
        <f t="shared" si="5"/>
        <v>0.79242200739140001</v>
      </c>
      <c r="S38" s="1561"/>
      <c r="U38" s="1565" t="s">
        <v>742</v>
      </c>
    </row>
    <row r="39" spans="2:23" s="1565" customFormat="1" ht="20.100000000000001" customHeight="1" thickBot="1">
      <c r="B39" s="1630" t="s">
        <v>759</v>
      </c>
      <c r="C39" s="1631" t="s">
        <v>760</v>
      </c>
      <c r="D39" s="1632">
        <v>44.85</v>
      </c>
      <c r="E39" s="1633">
        <v>1913.54</v>
      </c>
      <c r="F39" s="1666">
        <v>12.406797409057617</v>
      </c>
      <c r="G39" s="1634">
        <v>1.0549999999999999</v>
      </c>
      <c r="H39" s="1635">
        <f t="shared" si="1"/>
        <v>297.78327785405156</v>
      </c>
      <c r="I39" s="1636">
        <v>0.68500000000000005</v>
      </c>
      <c r="J39" s="1637">
        <v>0.11</v>
      </c>
      <c r="K39" s="1637">
        <v>1.1900000000000001E-3</v>
      </c>
      <c r="L39" s="1637">
        <f>100-(SUM(I39:K39))</f>
        <v>99.203810000000004</v>
      </c>
      <c r="M39" s="1638">
        <f>100-SUM(I39:L39)</f>
        <v>0</v>
      </c>
      <c r="N39" s="1639">
        <f t="shared" si="2"/>
        <v>2.0398154533002533</v>
      </c>
      <c r="O39" s="1640">
        <f>J39*H39/100</f>
        <v>0.32756160563945669</v>
      </c>
      <c r="P39" s="1641">
        <f>H39*K39/100</f>
        <v>3.5436210064632139E-3</v>
      </c>
      <c r="Q39" s="1642">
        <f>N39+(P39*2*94/228)</f>
        <v>2.0427373864108458</v>
      </c>
      <c r="R39" s="1641">
        <f t="shared" si="5"/>
        <v>0.32846305308846924</v>
      </c>
      <c r="S39" s="1561"/>
      <c r="W39" s="1565" t="s">
        <v>742</v>
      </c>
    </row>
    <row r="40" spans="2:23" ht="20.100000000000001" customHeight="1" thickBot="1">
      <c r="B40" s="1643" t="s">
        <v>106</v>
      </c>
      <c r="C40" s="1644"/>
      <c r="D40" s="1644"/>
      <c r="E40" s="1644" t="s">
        <v>742</v>
      </c>
      <c r="F40" s="1644"/>
      <c r="G40" s="1644"/>
      <c r="H40" s="1645"/>
      <c r="I40" s="1644"/>
      <c r="J40" s="1644"/>
      <c r="K40" s="1644"/>
      <c r="L40" s="1644"/>
      <c r="M40" s="1644"/>
      <c r="N40" s="1646">
        <f>SUM(N6:N39)</f>
        <v>2345.4139153005885</v>
      </c>
      <c r="O40" s="1647">
        <f>SUM(O6:O39)</f>
        <v>37.222616687338238</v>
      </c>
      <c r="P40" s="1648">
        <f>SUM(P6:P39)</f>
        <v>858.54390289883304</v>
      </c>
      <c r="Q40" s="1649">
        <f>SUM(Q6:Q39)</f>
        <v>3053.3360808487487</v>
      </c>
      <c r="R40" s="1650">
        <f>SUM(R6:R39)</f>
        <v>255.62413584581327</v>
      </c>
      <c r="T40" s="1565"/>
    </row>
    <row r="41" spans="2:23" ht="20.100000000000001" customHeight="1">
      <c r="B41" s="1651"/>
      <c r="C41" s="1652"/>
      <c r="D41" s="1652"/>
      <c r="E41" s="1652"/>
      <c r="F41" s="1652"/>
      <c r="G41" s="1652"/>
      <c r="H41" s="1653"/>
      <c r="I41" s="1652"/>
      <c r="J41" s="1652"/>
      <c r="K41" s="1652"/>
      <c r="L41" s="1652"/>
      <c r="M41" s="1652"/>
      <c r="N41" s="1652"/>
      <c r="O41" s="1652"/>
      <c r="P41" s="1652"/>
      <c r="Q41" s="1768">
        <f>R40+Q40</f>
        <v>3308.960216694562</v>
      </c>
      <c r="R41" s="1768"/>
      <c r="T41" s="1565"/>
    </row>
    <row r="42" spans="2:23" ht="26.25" customHeight="1">
      <c r="D42" s="1654"/>
      <c r="E42" s="1654"/>
      <c r="F42" s="1654" t="s">
        <v>742</v>
      </c>
      <c r="G42" s="1654"/>
      <c r="H42" s="1654" t="s">
        <v>742</v>
      </c>
      <c r="I42" s="1654" t="s">
        <v>742</v>
      </c>
      <c r="J42" s="1654" t="s">
        <v>742</v>
      </c>
      <c r="K42" s="1654" t="s">
        <v>742</v>
      </c>
      <c r="L42" s="1654" t="s">
        <v>742</v>
      </c>
      <c r="M42" s="1655"/>
      <c r="N42" s="1654"/>
      <c r="O42" s="1654" t="s">
        <v>742</v>
      </c>
      <c r="P42" s="1654"/>
      <c r="Q42" s="1654">
        <v>2761.281162953132</v>
      </c>
      <c r="R42" s="1654">
        <v>240.27357184971333</v>
      </c>
      <c r="T42" s="1565" t="s">
        <v>742</v>
      </c>
    </row>
    <row r="43" spans="2:23" ht="15">
      <c r="D43" s="1656"/>
      <c r="E43" s="1656"/>
      <c r="F43" s="1657"/>
      <c r="G43" s="1657"/>
      <c r="H43" s="1657"/>
      <c r="I43" s="1657"/>
      <c r="J43" s="1657"/>
      <c r="K43" s="1657"/>
      <c r="L43" s="1657"/>
      <c r="M43" s="1657"/>
      <c r="N43" s="1657"/>
      <c r="O43" s="1658"/>
      <c r="P43" s="1657"/>
      <c r="Q43" s="1656">
        <f>Q42-Q40</f>
        <v>-292.05491789561665</v>
      </c>
      <c r="R43" s="1656">
        <f>R42-R40</f>
        <v>-15.350563996099936</v>
      </c>
    </row>
    <row r="44" spans="2:23" ht="26.25" customHeight="1">
      <c r="D44" s="1654"/>
      <c r="E44" s="1654"/>
      <c r="F44" s="1654"/>
      <c r="G44" s="1654"/>
      <c r="H44" s="1654"/>
      <c r="I44" s="1654"/>
      <c r="J44" s="1654"/>
      <c r="K44" s="1654"/>
      <c r="L44" s="1654"/>
      <c r="M44" s="1654"/>
      <c r="N44" s="1654"/>
      <c r="O44" s="1654"/>
      <c r="P44" s="1654"/>
      <c r="Q44" s="1654"/>
      <c r="R44" s="1654"/>
    </row>
    <row r="45" spans="2:23">
      <c r="Q45" s="1659"/>
    </row>
    <row r="46" spans="2:23" ht="17.25">
      <c r="G46" s="1660"/>
      <c r="H46" s="1661"/>
    </row>
  </sheetData>
  <mergeCells count="12">
    <mergeCell ref="Q41:R41"/>
    <mergeCell ref="B3:B5"/>
    <mergeCell ref="C3:C5"/>
    <mergeCell ref="D3:D4"/>
    <mergeCell ref="E3:E4"/>
    <mergeCell ref="F3:F4"/>
    <mergeCell ref="G3:G4"/>
    <mergeCell ref="H3:H4"/>
    <mergeCell ref="I3:K3"/>
    <mergeCell ref="N3:P3"/>
    <mergeCell ref="Q3:Q4"/>
    <mergeCell ref="R3:R4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tabColor rgb="FF00B050"/>
    <pageSetUpPr fitToPage="1"/>
  </sheetPr>
  <dimension ref="A1:BN85"/>
  <sheetViews>
    <sheetView zoomScale="70" zoomScaleNormal="70" workbookViewId="0">
      <pane xSplit="3" ySplit="5" topLeftCell="D21" activePane="bottomRight" state="frozen"/>
      <selection activeCell="M48" sqref="M48"/>
      <selection pane="topRight" activeCell="M48" sqref="M48"/>
      <selection pane="bottomLeft" activeCell="M48" sqref="M48"/>
      <selection pane="bottomRight" activeCell="O50" sqref="O50"/>
    </sheetView>
  </sheetViews>
  <sheetFormatPr defaultRowHeight="15" outlineLevelRow="1"/>
  <cols>
    <col min="1" max="1" width="14.5703125" customWidth="1"/>
    <col min="2" max="2" width="10.5703125" style="153" customWidth="1"/>
    <col min="3" max="3" width="10.85546875" style="153" bestFit="1" customWidth="1"/>
    <col min="4" max="4" width="13.28515625" style="153" customWidth="1"/>
    <col min="5" max="5" width="14.7109375" style="153" customWidth="1"/>
    <col min="6" max="6" width="13.7109375" style="153" customWidth="1"/>
    <col min="7" max="7" width="15.28515625" style="153" customWidth="1"/>
    <col min="8" max="8" width="15" style="153" customWidth="1"/>
    <col min="9" max="9" width="15.7109375" style="153" bestFit="1" customWidth="1"/>
    <col min="10" max="10" width="18" style="153" customWidth="1"/>
    <col min="11" max="15" width="13.5703125" style="153" customWidth="1"/>
    <col min="16" max="16" width="12.85546875" style="153" bestFit="1" customWidth="1"/>
    <col min="17" max="17" width="12.28515625" style="153" customWidth="1"/>
    <col min="18" max="18" width="10.85546875" style="153" customWidth="1"/>
    <col min="19" max="19" width="10.140625" style="153" customWidth="1"/>
    <col min="20" max="20" width="11.7109375" style="153" customWidth="1"/>
    <col min="21" max="21" width="11" style="153" bestFit="1" customWidth="1"/>
    <col min="22" max="22" width="11.42578125" style="153" customWidth="1"/>
    <col min="23" max="23" width="8.5703125" style="153" bestFit="1" customWidth="1"/>
    <col min="24" max="24" width="10.140625" style="153" bestFit="1" customWidth="1"/>
    <col min="25" max="25" width="12.85546875" style="153" customWidth="1"/>
    <col min="26" max="26" width="16" style="195" bestFit="1" customWidth="1"/>
    <col min="27" max="27" width="10.140625" style="195" bestFit="1" customWidth="1"/>
    <col min="28" max="28" width="12.85546875" style="195" customWidth="1"/>
    <col min="29" max="29" width="16" style="196" bestFit="1" customWidth="1"/>
    <col min="30" max="30" width="10.140625" style="196" bestFit="1" customWidth="1"/>
    <col min="31" max="31" width="8.5703125" style="196" bestFit="1" customWidth="1"/>
    <col min="32" max="33" width="11.28515625" style="196" customWidth="1"/>
    <col min="34" max="34" width="10.7109375" style="196" customWidth="1"/>
    <col min="35" max="35" width="12.42578125" style="196" customWidth="1"/>
    <col min="36" max="36" width="12.85546875" style="196" customWidth="1"/>
    <col min="37" max="37" width="12.140625" style="196" customWidth="1"/>
    <col min="38" max="38" width="11.140625" style="196" bestFit="1" customWidth="1"/>
    <col min="39" max="39" width="9.85546875" style="196" customWidth="1"/>
    <col min="40" max="40" width="12.28515625" style="196" customWidth="1"/>
    <col min="41" max="41" width="12.5703125" style="196" customWidth="1"/>
    <col min="42" max="42" width="9.85546875" style="196" customWidth="1"/>
    <col min="43" max="43" width="12.28515625" style="196" customWidth="1"/>
    <col min="44" max="44" width="11.5703125" style="196" customWidth="1"/>
    <col min="45" max="45" width="9.85546875" style="196" customWidth="1"/>
    <col min="46" max="46" width="10" style="196" customWidth="1"/>
    <col min="47" max="51" width="7.7109375" style="196" customWidth="1"/>
    <col min="52" max="52" width="8.7109375" style="196" customWidth="1"/>
    <col min="53" max="53" width="9.5703125" style="198" customWidth="1"/>
    <col min="54" max="54" width="10.7109375" style="198" customWidth="1"/>
    <col min="55" max="55" width="13" style="198" customWidth="1"/>
    <col min="56" max="60" width="10.7109375" style="198" customWidth="1"/>
    <col min="61" max="61" width="12.140625" style="198" bestFit="1" customWidth="1"/>
    <col min="62" max="62" width="8" style="198" bestFit="1" customWidth="1"/>
    <col min="63" max="64" width="10" style="153" customWidth="1"/>
    <col min="65" max="65" width="8" bestFit="1" customWidth="1"/>
    <col min="67" max="67" width="24" customWidth="1"/>
  </cols>
  <sheetData>
    <row r="1" spans="1:66" ht="15.75" customHeight="1" thickBot="1">
      <c r="A1" s="109" t="s">
        <v>110</v>
      </c>
      <c r="B1" s="489"/>
      <c r="C1" s="490"/>
      <c r="D1" s="490"/>
      <c r="E1" s="490"/>
      <c r="F1" s="490"/>
      <c r="G1" s="490"/>
      <c r="H1" s="1800" t="s">
        <v>124</v>
      </c>
      <c r="I1" s="1801"/>
      <c r="J1" s="1801"/>
      <c r="K1" s="1801"/>
      <c r="L1" s="1801"/>
      <c r="M1" s="1801"/>
      <c r="N1" s="1801"/>
      <c r="O1" s="1802"/>
      <c r="P1" s="1792" t="s">
        <v>128</v>
      </c>
      <c r="Q1" s="1793"/>
      <c r="R1" s="1793"/>
      <c r="S1" s="1793"/>
      <c r="T1" s="1793"/>
      <c r="U1" s="1793"/>
      <c r="V1" s="1793"/>
      <c r="W1" s="1793"/>
      <c r="X1" s="1793"/>
      <c r="Y1" s="1793"/>
      <c r="Z1" s="1793"/>
      <c r="AA1" s="1793"/>
      <c r="AB1" s="1793"/>
      <c r="AC1" s="1793"/>
      <c r="AD1" s="1793"/>
      <c r="AE1" s="1793"/>
      <c r="AF1" s="1793"/>
      <c r="AG1" s="1793"/>
      <c r="AH1" s="1793"/>
      <c r="AI1" s="1793"/>
      <c r="AJ1" s="1794"/>
      <c r="AK1" s="1845" t="s">
        <v>130</v>
      </c>
      <c r="AL1" s="1846"/>
      <c r="AM1" s="1846"/>
      <c r="AN1" s="1846"/>
      <c r="AO1" s="1846"/>
      <c r="AP1" s="1846"/>
      <c r="AQ1" s="1846"/>
      <c r="AR1" s="1846"/>
      <c r="AS1" s="1846"/>
      <c r="AT1" s="1846"/>
      <c r="AU1" s="1846"/>
      <c r="AV1" s="1847"/>
      <c r="AW1" s="1847"/>
      <c r="AX1" s="1847"/>
      <c r="AY1" s="1847"/>
      <c r="AZ1" s="1847"/>
      <c r="BA1" s="1847"/>
      <c r="BB1" s="1847"/>
      <c r="BC1" s="1847"/>
      <c r="BD1" s="1848"/>
      <c r="BE1"/>
      <c r="BF1"/>
      <c r="BG1"/>
      <c r="BH1"/>
      <c r="BI1"/>
      <c r="BJ1"/>
      <c r="BK1"/>
      <c r="BL1"/>
    </row>
    <row r="2" spans="1:66" ht="15.75" customHeight="1" thickBot="1">
      <c r="A2" s="1816" t="s">
        <v>111</v>
      </c>
      <c r="B2" s="1819" t="s">
        <v>126</v>
      </c>
      <c r="C2" s="1820"/>
      <c r="D2" s="774"/>
      <c r="E2" s="774"/>
      <c r="F2" s="775" t="s">
        <v>436</v>
      </c>
      <c r="G2" s="774"/>
      <c r="H2" s="1805" t="s">
        <v>127</v>
      </c>
      <c r="I2" s="1806"/>
      <c r="J2" s="1807"/>
      <c r="K2" s="1799" t="s">
        <v>382</v>
      </c>
      <c r="L2" s="825"/>
      <c r="M2" s="825"/>
      <c r="N2" s="826"/>
      <c r="O2" s="825"/>
      <c r="P2" s="1795"/>
      <c r="Q2" s="1796"/>
      <c r="R2" s="1796"/>
      <c r="S2" s="1796"/>
      <c r="T2" s="1796"/>
      <c r="U2" s="1796"/>
      <c r="V2" s="1796"/>
      <c r="W2" s="1796"/>
      <c r="X2" s="1796"/>
      <c r="Y2" s="1796"/>
      <c r="Z2" s="1796"/>
      <c r="AA2" s="1796"/>
      <c r="AB2" s="1796"/>
      <c r="AC2" s="1796"/>
      <c r="AD2" s="1796"/>
      <c r="AE2" s="1796"/>
      <c r="AF2" s="1796"/>
      <c r="AG2" s="1796"/>
      <c r="AH2" s="1796"/>
      <c r="AI2" s="1796"/>
      <c r="AJ2" s="1797"/>
      <c r="AK2" s="1853" t="s">
        <v>193</v>
      </c>
      <c r="AL2" s="1854"/>
      <c r="AM2" s="1854"/>
      <c r="AN2" s="1854"/>
      <c r="AO2" s="1854"/>
      <c r="AP2" s="1854"/>
      <c r="AQ2" s="1854"/>
      <c r="AR2" s="1854"/>
      <c r="AS2" s="1854"/>
      <c r="AT2" s="1854"/>
      <c r="AU2" s="1855"/>
      <c r="AV2" s="1850" t="s">
        <v>452</v>
      </c>
      <c r="AW2" s="1850"/>
      <c r="AX2" s="1852"/>
      <c r="AY2" s="1849" t="s">
        <v>453</v>
      </c>
      <c r="AZ2" s="1850"/>
      <c r="BA2" s="1851"/>
      <c r="BB2" s="1856" t="s">
        <v>130</v>
      </c>
      <c r="BC2" s="1857"/>
      <c r="BD2" s="1856" t="s">
        <v>130</v>
      </c>
      <c r="BE2" s="1857"/>
      <c r="BF2"/>
      <c r="BG2"/>
      <c r="BH2"/>
      <c r="BI2"/>
      <c r="BJ2"/>
      <c r="BK2"/>
      <c r="BL2"/>
    </row>
    <row r="3" spans="1:66" ht="26.25" customHeight="1">
      <c r="A3" s="1817"/>
      <c r="B3" s="1821" t="s">
        <v>678</v>
      </c>
      <c r="C3" s="1822"/>
      <c r="D3" s="1825"/>
      <c r="E3" s="1826"/>
      <c r="F3" s="1823" t="s">
        <v>131</v>
      </c>
      <c r="G3" s="1823" t="s">
        <v>376</v>
      </c>
      <c r="H3" s="1808" t="s">
        <v>132</v>
      </c>
      <c r="I3" s="1808" t="s">
        <v>133</v>
      </c>
      <c r="J3" s="1803" t="s">
        <v>134</v>
      </c>
      <c r="K3" s="1792"/>
      <c r="L3" s="827" t="s">
        <v>188</v>
      </c>
      <c r="M3" s="827" t="s">
        <v>188</v>
      </c>
      <c r="N3" s="827" t="s">
        <v>188</v>
      </c>
      <c r="O3" s="828" t="s">
        <v>188</v>
      </c>
      <c r="P3" s="1810" t="s">
        <v>389</v>
      </c>
      <c r="Q3" s="1812" t="s">
        <v>646</v>
      </c>
      <c r="R3" s="1790" t="s">
        <v>548</v>
      </c>
      <c r="S3" s="1790" t="s">
        <v>659</v>
      </c>
      <c r="T3" s="1790" t="s">
        <v>668</v>
      </c>
      <c r="U3" s="1812" t="s">
        <v>650</v>
      </c>
      <c r="V3" s="1790" t="s">
        <v>651</v>
      </c>
      <c r="W3" s="1790" t="s">
        <v>660</v>
      </c>
      <c r="X3" s="1790" t="s">
        <v>665</v>
      </c>
      <c r="Y3" s="1510" t="s">
        <v>192</v>
      </c>
      <c r="Z3" s="1132" t="s">
        <v>192</v>
      </c>
      <c r="AA3" s="1132" t="s">
        <v>192</v>
      </c>
      <c r="AB3" s="1510" t="s">
        <v>192</v>
      </c>
      <c r="AC3" s="1132" t="s">
        <v>192</v>
      </c>
      <c r="AD3" s="1132" t="s">
        <v>192</v>
      </c>
      <c r="AE3" s="1512" t="s">
        <v>189</v>
      </c>
      <c r="AF3" s="1133" t="s">
        <v>189</v>
      </c>
      <c r="AG3" s="1133" t="s">
        <v>189</v>
      </c>
      <c r="AH3" s="1841" t="s">
        <v>627</v>
      </c>
      <c r="AI3" s="1842"/>
      <c r="AJ3" s="1534" t="s">
        <v>189</v>
      </c>
      <c r="AK3" s="1839" t="s">
        <v>129</v>
      </c>
      <c r="AL3" s="1814" t="s">
        <v>135</v>
      </c>
      <c r="AM3" s="1533" t="s">
        <v>652</v>
      </c>
      <c r="AN3" s="1536" t="s">
        <v>667</v>
      </c>
      <c r="AO3" s="1125" t="s">
        <v>552</v>
      </c>
      <c r="AP3" s="813" t="s">
        <v>663</v>
      </c>
      <c r="AQ3" s="1514" t="s">
        <v>652</v>
      </c>
      <c r="AR3" s="813" t="s">
        <v>552</v>
      </c>
      <c r="AS3" s="813" t="s">
        <v>663</v>
      </c>
      <c r="AT3" s="813" t="s">
        <v>667</v>
      </c>
      <c r="AU3" s="1514" t="s">
        <v>652</v>
      </c>
      <c r="AV3" s="813" t="s">
        <v>552</v>
      </c>
      <c r="AW3" s="1124" t="s">
        <v>663</v>
      </c>
      <c r="AX3" s="1829" t="s">
        <v>652</v>
      </c>
      <c r="AY3" s="1827" t="s">
        <v>553</v>
      </c>
      <c r="AZ3" s="1835" t="s">
        <v>663</v>
      </c>
      <c r="BA3" s="1837" t="s">
        <v>652</v>
      </c>
      <c r="BB3" s="1827" t="s">
        <v>553</v>
      </c>
      <c r="BC3" s="1833" t="s">
        <v>663</v>
      </c>
      <c r="BD3" s="1831" t="s">
        <v>625</v>
      </c>
      <c r="BE3" s="1843" t="s">
        <v>626</v>
      </c>
      <c r="BF3"/>
      <c r="BG3"/>
      <c r="BH3" s="1182"/>
      <c r="BI3" s="1182"/>
      <c r="BJ3" s="1182"/>
      <c r="BK3"/>
      <c r="BL3" s="1182"/>
      <c r="BM3" s="1182"/>
      <c r="BN3" s="1182"/>
    </row>
    <row r="4" spans="1:66" s="4" customFormat="1" ht="36.75" customHeight="1" thickBot="1">
      <c r="A4" s="1818"/>
      <c r="B4" s="724" t="s">
        <v>136</v>
      </c>
      <c r="C4" s="723" t="s">
        <v>41</v>
      </c>
      <c r="D4" s="491" t="s">
        <v>137</v>
      </c>
      <c r="E4" s="492" t="s">
        <v>138</v>
      </c>
      <c r="F4" s="1824"/>
      <c r="G4" s="1824"/>
      <c r="H4" s="1809"/>
      <c r="I4" s="1809"/>
      <c r="J4" s="1804"/>
      <c r="K4" s="1795"/>
      <c r="L4" s="829" t="s">
        <v>189</v>
      </c>
      <c r="M4" s="829" t="s">
        <v>190</v>
      </c>
      <c r="N4" s="829" t="s">
        <v>191</v>
      </c>
      <c r="O4" s="830" t="s">
        <v>375</v>
      </c>
      <c r="P4" s="1811"/>
      <c r="Q4" s="1813"/>
      <c r="R4" s="1791"/>
      <c r="S4" s="1791"/>
      <c r="T4" s="1791"/>
      <c r="U4" s="1813"/>
      <c r="V4" s="1791"/>
      <c r="W4" s="1791"/>
      <c r="X4" s="1791"/>
      <c r="Y4" s="1511" t="s">
        <v>647</v>
      </c>
      <c r="Z4" s="1134" t="s">
        <v>549</v>
      </c>
      <c r="AA4" s="1134" t="s">
        <v>666</v>
      </c>
      <c r="AB4" s="1511" t="s">
        <v>648</v>
      </c>
      <c r="AC4" s="1134" t="s">
        <v>550</v>
      </c>
      <c r="AD4" s="1134" t="s">
        <v>661</v>
      </c>
      <c r="AE4" s="1513" t="s">
        <v>649</v>
      </c>
      <c r="AF4" s="1135" t="s">
        <v>551</v>
      </c>
      <c r="AG4" s="1135" t="s">
        <v>662</v>
      </c>
      <c r="AH4" s="1526" t="s">
        <v>625</v>
      </c>
      <c r="AI4" s="1527" t="s">
        <v>626</v>
      </c>
      <c r="AJ4" s="1388" t="s">
        <v>628</v>
      </c>
      <c r="AK4" s="1840"/>
      <c r="AL4" s="1815"/>
      <c r="AM4" s="831" t="s">
        <v>443</v>
      </c>
      <c r="AN4" s="1126" t="s">
        <v>443</v>
      </c>
      <c r="AO4" s="1126" t="s">
        <v>443</v>
      </c>
      <c r="AP4" s="1515" t="s">
        <v>443</v>
      </c>
      <c r="AQ4" s="1515" t="s">
        <v>442</v>
      </c>
      <c r="AR4" s="1515" t="s">
        <v>442</v>
      </c>
      <c r="AS4" s="1515" t="s">
        <v>442</v>
      </c>
      <c r="AT4" s="1532" t="s">
        <v>442</v>
      </c>
      <c r="AU4" s="1515" t="s">
        <v>444</v>
      </c>
      <c r="AV4" s="1515" t="s">
        <v>444</v>
      </c>
      <c r="AW4" s="1516" t="s">
        <v>444</v>
      </c>
      <c r="AX4" s="1830"/>
      <c r="AY4" s="1828"/>
      <c r="AZ4" s="1836"/>
      <c r="BA4" s="1838"/>
      <c r="BB4" s="1828"/>
      <c r="BC4" s="1834"/>
      <c r="BD4" s="1832"/>
      <c r="BE4" s="1844"/>
      <c r="BF4" s="1798"/>
      <c r="BG4" s="1798"/>
      <c r="BH4" s="1798"/>
      <c r="BJ4" s="1798"/>
      <c r="BK4" s="1798"/>
      <c r="BL4" s="1798"/>
    </row>
    <row r="5" spans="1:66" s="4" customFormat="1" ht="16.5" customHeight="1">
      <c r="A5" s="643">
        <v>43799</v>
      </c>
      <c r="B5" s="735">
        <v>20.45</v>
      </c>
      <c r="C5" s="735">
        <v>490.8</v>
      </c>
      <c r="D5" s="1038">
        <v>508.49000000000024</v>
      </c>
      <c r="E5" s="1039">
        <v>632.11000000000024</v>
      </c>
      <c r="F5" s="1040">
        <v>403.19999999999993</v>
      </c>
      <c r="G5" s="1041">
        <v>123.62</v>
      </c>
      <c r="H5" s="644">
        <v>526.81999999999994</v>
      </c>
      <c r="I5" s="1042">
        <v>0</v>
      </c>
      <c r="J5" s="1286">
        <v>0</v>
      </c>
      <c r="K5" s="645">
        <v>526.81999999999994</v>
      </c>
      <c r="L5" s="645">
        <v>526.81999999999994</v>
      </c>
      <c r="M5" s="645"/>
      <c r="N5" s="645"/>
      <c r="O5" s="645">
        <v>0</v>
      </c>
      <c r="P5" s="612">
        <v>526.81999999999994</v>
      </c>
      <c r="Q5" s="817"/>
      <c r="R5" s="817"/>
      <c r="S5" s="817">
        <v>0</v>
      </c>
      <c r="T5" s="817"/>
      <c r="U5" s="817"/>
      <c r="V5" s="817">
        <v>403.19999999999993</v>
      </c>
      <c r="W5" s="817"/>
      <c r="X5" s="817"/>
      <c r="Y5" s="1185"/>
      <c r="Z5" s="1185"/>
      <c r="AA5" s="1185"/>
      <c r="AB5" s="1185"/>
      <c r="AC5" s="1185"/>
      <c r="AD5" s="1186"/>
      <c r="AE5" s="823"/>
      <c r="AF5" s="823">
        <v>0</v>
      </c>
      <c r="AG5" s="823"/>
      <c r="AH5" s="1185">
        <v>123.62</v>
      </c>
      <c r="AI5" s="1186"/>
      <c r="AJ5" s="824"/>
      <c r="AK5" s="1187">
        <v>14598.52</v>
      </c>
      <c r="AL5" s="612">
        <v>0</v>
      </c>
      <c r="AM5" s="1131"/>
      <c r="AN5" s="817"/>
      <c r="AO5" s="1127"/>
      <c r="AP5" s="613">
        <v>0</v>
      </c>
      <c r="AQ5" s="613">
        <v>0</v>
      </c>
      <c r="AR5" s="613">
        <v>0</v>
      </c>
      <c r="AS5" s="613"/>
      <c r="AT5" s="613"/>
      <c r="AU5" s="613"/>
      <c r="AV5" s="613"/>
      <c r="AW5" s="613"/>
      <c r="AX5" s="1131"/>
      <c r="AY5" s="817"/>
      <c r="AZ5" s="635"/>
      <c r="BA5" s="1136"/>
      <c r="BB5" s="817"/>
      <c r="BC5" s="613"/>
      <c r="BD5" s="1131"/>
      <c r="BE5" s="1385"/>
      <c r="BF5" s="847"/>
      <c r="BG5" s="847"/>
      <c r="BH5" s="847"/>
      <c r="BJ5" s="847"/>
      <c r="BK5" s="847"/>
      <c r="BL5" s="847"/>
      <c r="BN5" s="847"/>
    </row>
    <row r="6" spans="1:66" s="4" customFormat="1" ht="15" customHeight="1">
      <c r="A6" s="646">
        <f>'Raw Material'!A5</f>
        <v>43800</v>
      </c>
      <c r="B6" s="736">
        <f>C6/24</f>
        <v>20.346666666666668</v>
      </c>
      <c r="C6" s="736">
        <v>488.32</v>
      </c>
      <c r="D6" s="1391">
        <f>E5</f>
        <v>632.11000000000024</v>
      </c>
      <c r="E6" s="1392">
        <f t="shared" ref="E6:E36" si="0">D6+K6-(F6+BE6+BD6)</f>
        <v>649.04000000000019</v>
      </c>
      <c r="F6" s="628">
        <v>468</v>
      </c>
      <c r="G6" s="1501">
        <f t="shared" ref="G6:G36" si="1">AH6</f>
        <v>16.93</v>
      </c>
      <c r="H6" s="840">
        <v>484.93</v>
      </c>
      <c r="I6" s="844">
        <v>0</v>
      </c>
      <c r="J6" s="353">
        <v>0</v>
      </c>
      <c r="K6" s="1523">
        <v>484.93</v>
      </c>
      <c r="L6" s="1395">
        <f t="shared" ref="L6:L36" si="2">K6-SUM(M6:O6)</f>
        <v>484.93</v>
      </c>
      <c r="M6" s="1300">
        <v>0</v>
      </c>
      <c r="N6" s="1300"/>
      <c r="O6" s="1300">
        <v>0</v>
      </c>
      <c r="P6" s="1394">
        <f t="shared" ref="P6:P35" si="3">SUM(Q6:AJ6)</f>
        <v>484.93</v>
      </c>
      <c r="Q6" s="816"/>
      <c r="R6" s="816"/>
      <c r="S6" s="816">
        <v>0</v>
      </c>
      <c r="T6" s="816"/>
      <c r="U6" s="816"/>
      <c r="V6" s="816">
        <v>468</v>
      </c>
      <c r="W6" s="816"/>
      <c r="X6" s="816"/>
      <c r="Y6" s="816"/>
      <c r="Z6" s="816">
        <v>0</v>
      </c>
      <c r="AA6" s="816"/>
      <c r="AB6" s="816"/>
      <c r="AC6" s="816"/>
      <c r="AD6" s="816"/>
      <c r="AE6" s="816"/>
      <c r="AF6" s="816">
        <v>0</v>
      </c>
      <c r="AG6" s="816"/>
      <c r="AH6" s="816">
        <v>16.93</v>
      </c>
      <c r="AI6" s="924"/>
      <c r="AJ6" s="818"/>
      <c r="AK6" s="1397">
        <f>P6</f>
        <v>484.93</v>
      </c>
      <c r="AL6" s="1398">
        <f t="shared" ref="AL6:AL36" si="4">SUM(AM6:BE6)</f>
        <v>1530</v>
      </c>
      <c r="AM6" s="842"/>
      <c r="AN6" s="1538"/>
      <c r="AO6" s="1128"/>
      <c r="AP6" s="814">
        <v>0</v>
      </c>
      <c r="AQ6" s="814">
        <v>0</v>
      </c>
      <c r="AR6" s="814">
        <v>1530</v>
      </c>
      <c r="AS6" s="814"/>
      <c r="AT6" s="814"/>
      <c r="AU6" s="814"/>
      <c r="AV6" s="814"/>
      <c r="AW6" s="814"/>
      <c r="AX6" s="1139"/>
      <c r="AY6" s="815"/>
      <c r="AZ6" s="1140"/>
      <c r="BA6" s="1137"/>
      <c r="BB6" s="816"/>
      <c r="BC6" s="924"/>
      <c r="BD6" s="923"/>
      <c r="BE6" s="1386"/>
      <c r="BF6" s="847"/>
      <c r="BG6" s="847"/>
      <c r="BH6" s="847"/>
      <c r="BJ6" s="847"/>
      <c r="BK6" s="847"/>
      <c r="BL6" s="847"/>
      <c r="BN6" s="847"/>
    </row>
    <row r="7" spans="1:66" ht="15" customHeight="1">
      <c r="A7" s="646">
        <f>A6+1</f>
        <v>43801</v>
      </c>
      <c r="B7" s="736">
        <f t="shared" ref="B7:B36" si="5">C7/24</f>
        <v>20.347083333333334</v>
      </c>
      <c r="C7" s="736">
        <v>488.33</v>
      </c>
      <c r="D7" s="1391">
        <f t="shared" ref="D7:D33" si="6">E6</f>
        <v>649.04000000000019</v>
      </c>
      <c r="E7" s="1392">
        <f t="shared" si="0"/>
        <v>502.57000000000028</v>
      </c>
      <c r="F7" s="628">
        <v>473.4</v>
      </c>
      <c r="G7" s="1501">
        <f t="shared" si="1"/>
        <v>18.32</v>
      </c>
      <c r="H7" s="840">
        <v>491.71999999999997</v>
      </c>
      <c r="I7" s="845">
        <v>0</v>
      </c>
      <c r="J7" s="353">
        <v>0</v>
      </c>
      <c r="K7" s="642">
        <v>491.71999999999997</v>
      </c>
      <c r="L7" s="1395">
        <f t="shared" si="2"/>
        <v>491.71999999999997</v>
      </c>
      <c r="M7" s="1300">
        <v>0</v>
      </c>
      <c r="N7" s="1300"/>
      <c r="O7" s="1300">
        <v>0</v>
      </c>
      <c r="P7" s="1394">
        <f t="shared" si="3"/>
        <v>491.71999999999997</v>
      </c>
      <c r="Q7" s="816"/>
      <c r="R7" s="816"/>
      <c r="S7" s="816">
        <v>0</v>
      </c>
      <c r="T7" s="816"/>
      <c r="U7" s="816"/>
      <c r="V7" s="816">
        <v>473.4</v>
      </c>
      <c r="W7" s="816"/>
      <c r="X7" s="816"/>
      <c r="Y7" s="816"/>
      <c r="Z7" s="816">
        <v>0</v>
      </c>
      <c r="AA7" s="816"/>
      <c r="AB7" s="816"/>
      <c r="AC7" s="816"/>
      <c r="AD7" s="816"/>
      <c r="AE7" s="816"/>
      <c r="AF7" s="816">
        <v>0</v>
      </c>
      <c r="AG7" s="816"/>
      <c r="AH7" s="816">
        <v>18.32</v>
      </c>
      <c r="AI7" s="924"/>
      <c r="AJ7" s="818"/>
      <c r="AK7" s="1397">
        <f t="shared" ref="AK7:AK36" si="7">P7+AK6</f>
        <v>976.65</v>
      </c>
      <c r="AL7" s="1398">
        <f t="shared" si="4"/>
        <v>164.79</v>
      </c>
      <c r="AM7" s="842"/>
      <c r="AN7" s="1538"/>
      <c r="AO7" s="1128"/>
      <c r="AP7" s="814">
        <v>0</v>
      </c>
      <c r="AQ7" s="814">
        <v>0</v>
      </c>
      <c r="AR7" s="814">
        <v>0</v>
      </c>
      <c r="AS7" s="814"/>
      <c r="AT7" s="814"/>
      <c r="AU7" s="814"/>
      <c r="AV7" s="814"/>
      <c r="AW7" s="814"/>
      <c r="AX7" s="1139"/>
      <c r="AY7" s="815"/>
      <c r="AZ7" s="1140"/>
      <c r="BA7" s="1137"/>
      <c r="BB7" s="816"/>
      <c r="BC7" s="924"/>
      <c r="BD7" s="923">
        <v>164.79</v>
      </c>
      <c r="BE7" s="1386"/>
      <c r="BF7" s="847"/>
      <c r="BG7" s="847"/>
      <c r="BH7" s="847"/>
      <c r="BI7"/>
      <c r="BJ7" s="847"/>
      <c r="BK7" s="847"/>
      <c r="BL7" s="847"/>
      <c r="BN7" s="847"/>
    </row>
    <row r="8" spans="1:66">
      <c r="A8" s="646">
        <f t="shared" ref="A8:A36" si="8">A7+1</f>
        <v>43802</v>
      </c>
      <c r="B8" s="736">
        <f t="shared" si="5"/>
        <v>19.442083333333333</v>
      </c>
      <c r="C8" s="736">
        <v>466.61</v>
      </c>
      <c r="D8" s="1391">
        <f t="shared" si="6"/>
        <v>502.57000000000028</v>
      </c>
      <c r="E8" s="1392">
        <f t="shared" si="0"/>
        <v>844.73000000000025</v>
      </c>
      <c r="F8" s="628">
        <v>133.69999999999999</v>
      </c>
      <c r="G8" s="1501">
        <f t="shared" si="1"/>
        <v>0</v>
      </c>
      <c r="H8" s="840">
        <v>352.96000000000004</v>
      </c>
      <c r="I8" s="845">
        <v>118.4</v>
      </c>
      <c r="J8" s="353">
        <v>0</v>
      </c>
      <c r="K8" s="642">
        <v>475.86</v>
      </c>
      <c r="L8" s="1395">
        <f t="shared" si="2"/>
        <v>471.36</v>
      </c>
      <c r="M8" s="1300">
        <v>0</v>
      </c>
      <c r="N8" s="1300"/>
      <c r="O8" s="1300">
        <v>4.5</v>
      </c>
      <c r="P8" s="1394">
        <f t="shared" si="3"/>
        <v>475.86</v>
      </c>
      <c r="Q8" s="816"/>
      <c r="R8" s="816"/>
      <c r="S8" s="816">
        <v>0</v>
      </c>
      <c r="T8" s="816">
        <v>118.4</v>
      </c>
      <c r="U8" s="816"/>
      <c r="V8" s="816">
        <v>10.800000000000011</v>
      </c>
      <c r="W8" s="816"/>
      <c r="X8" s="816"/>
      <c r="Y8" s="816"/>
      <c r="Z8" s="816">
        <v>0</v>
      </c>
      <c r="AA8" s="816"/>
      <c r="AB8" s="816"/>
      <c r="AC8" s="816"/>
      <c r="AD8" s="816"/>
      <c r="AE8" s="816"/>
      <c r="AF8" s="816">
        <v>4.5</v>
      </c>
      <c r="AG8" s="816"/>
      <c r="AH8" s="816"/>
      <c r="AI8" s="924">
        <v>342.16</v>
      </c>
      <c r="AJ8" s="818"/>
      <c r="AK8" s="1397">
        <f t="shared" si="7"/>
        <v>1452.51</v>
      </c>
      <c r="AL8" s="1398">
        <f t="shared" si="4"/>
        <v>1008</v>
      </c>
      <c r="AM8" s="842"/>
      <c r="AN8" s="1538"/>
      <c r="AO8" s="1128"/>
      <c r="AP8" s="814">
        <v>0</v>
      </c>
      <c r="AQ8" s="814">
        <v>0</v>
      </c>
      <c r="AR8" s="814">
        <v>1008</v>
      </c>
      <c r="AS8" s="814"/>
      <c r="AT8" s="814"/>
      <c r="AU8" s="814"/>
      <c r="AV8" s="814"/>
      <c r="AW8" s="814"/>
      <c r="AX8" s="1139"/>
      <c r="AY8" s="815"/>
      <c r="AZ8" s="1140"/>
      <c r="BA8" s="1137"/>
      <c r="BB8" s="816"/>
      <c r="BC8" s="924"/>
      <c r="BD8" s="923"/>
      <c r="BE8" s="1386"/>
      <c r="BF8" s="847"/>
      <c r="BG8" s="847"/>
      <c r="BH8" s="847"/>
      <c r="BI8"/>
      <c r="BJ8" s="847"/>
      <c r="BK8" s="847"/>
      <c r="BL8" s="847"/>
      <c r="BN8" s="847"/>
    </row>
    <row r="9" spans="1:66" ht="15" customHeight="1">
      <c r="A9" s="646">
        <f t="shared" si="8"/>
        <v>43803</v>
      </c>
      <c r="B9" s="736">
        <f t="shared" si="5"/>
        <v>20.25</v>
      </c>
      <c r="C9" s="736">
        <v>486</v>
      </c>
      <c r="D9" s="1391">
        <f t="shared" si="6"/>
        <v>844.73000000000025</v>
      </c>
      <c r="E9" s="1392">
        <f t="shared" si="0"/>
        <v>844.73000000000025</v>
      </c>
      <c r="F9" s="1520">
        <v>486</v>
      </c>
      <c r="G9" s="1501">
        <f t="shared" si="1"/>
        <v>0</v>
      </c>
      <c r="H9" s="840">
        <v>486</v>
      </c>
      <c r="I9" s="845">
        <v>0</v>
      </c>
      <c r="J9" s="649">
        <v>0</v>
      </c>
      <c r="K9" s="642">
        <v>486</v>
      </c>
      <c r="L9" s="1395">
        <f t="shared" si="2"/>
        <v>486</v>
      </c>
      <c r="M9" s="1300">
        <v>0</v>
      </c>
      <c r="N9" s="1300"/>
      <c r="O9" s="1300">
        <v>0</v>
      </c>
      <c r="P9" s="1394">
        <f t="shared" si="3"/>
        <v>486</v>
      </c>
      <c r="Q9" s="816"/>
      <c r="R9" s="816"/>
      <c r="S9" s="816">
        <v>0</v>
      </c>
      <c r="T9" s="816"/>
      <c r="U9" s="816">
        <v>264.60000000000002</v>
      </c>
      <c r="V9" s="816">
        <v>221.39999999999998</v>
      </c>
      <c r="W9" s="816"/>
      <c r="X9" s="816"/>
      <c r="Y9" s="816"/>
      <c r="Z9" s="816">
        <v>0</v>
      </c>
      <c r="AA9" s="816"/>
      <c r="AB9" s="816"/>
      <c r="AC9" s="816"/>
      <c r="AD9" s="816"/>
      <c r="AE9" s="816"/>
      <c r="AF9" s="816">
        <v>0</v>
      </c>
      <c r="AG9" s="816"/>
      <c r="AH9" s="816"/>
      <c r="AI9" s="924"/>
      <c r="AJ9" s="818"/>
      <c r="AK9" s="1397">
        <f t="shared" si="7"/>
        <v>1938.51</v>
      </c>
      <c r="AL9" s="1398">
        <f t="shared" si="4"/>
        <v>516</v>
      </c>
      <c r="AM9" s="842"/>
      <c r="AN9" s="1538">
        <v>30</v>
      </c>
      <c r="AO9" s="1128"/>
      <c r="AP9" s="814">
        <v>0</v>
      </c>
      <c r="AQ9" s="814">
        <v>486</v>
      </c>
      <c r="AR9" s="814">
        <v>0</v>
      </c>
      <c r="AS9" s="814"/>
      <c r="AT9" s="814"/>
      <c r="AU9" s="814"/>
      <c r="AV9" s="814"/>
      <c r="AW9" s="814"/>
      <c r="AX9" s="1139"/>
      <c r="AY9" s="815"/>
      <c r="AZ9" s="1140"/>
      <c r="BA9" s="1137"/>
      <c r="BB9" s="816"/>
      <c r="BC9" s="924"/>
      <c r="BD9" s="923"/>
      <c r="BE9" s="1386"/>
      <c r="BF9" s="847"/>
      <c r="BG9" s="847"/>
      <c r="BH9" s="847"/>
      <c r="BI9"/>
      <c r="BJ9" s="847"/>
      <c r="BK9" s="847"/>
      <c r="BL9" s="847"/>
      <c r="BN9" s="847"/>
    </row>
    <row r="10" spans="1:66">
      <c r="A10" s="646">
        <f t="shared" si="8"/>
        <v>43804</v>
      </c>
      <c r="B10" s="736">
        <f t="shared" si="5"/>
        <v>20.849999999999998</v>
      </c>
      <c r="C10" s="736">
        <v>500.4</v>
      </c>
      <c r="D10" s="1391">
        <f t="shared" si="6"/>
        <v>844.73000000000025</v>
      </c>
      <c r="E10" s="1392">
        <f t="shared" si="0"/>
        <v>342.16000000000031</v>
      </c>
      <c r="F10" s="1520">
        <v>505.79999999999995</v>
      </c>
      <c r="G10" s="1501">
        <f t="shared" si="1"/>
        <v>0</v>
      </c>
      <c r="H10" s="840">
        <v>500.4</v>
      </c>
      <c r="I10" s="845">
        <v>0</v>
      </c>
      <c r="J10" s="353">
        <v>0</v>
      </c>
      <c r="K10" s="642">
        <v>505.79999999999995</v>
      </c>
      <c r="L10" s="1395">
        <f t="shared" si="2"/>
        <v>500.4</v>
      </c>
      <c r="M10" s="1300">
        <v>0</v>
      </c>
      <c r="N10" s="1300"/>
      <c r="O10" s="1300">
        <v>5.4</v>
      </c>
      <c r="P10" s="1394">
        <f t="shared" si="3"/>
        <v>505.79999999999995</v>
      </c>
      <c r="Q10" s="816"/>
      <c r="R10" s="816"/>
      <c r="S10" s="816">
        <v>0</v>
      </c>
      <c r="T10" s="816"/>
      <c r="U10" s="816">
        <v>257.39999999999998</v>
      </c>
      <c r="V10" s="816">
        <v>243</v>
      </c>
      <c r="W10" s="816"/>
      <c r="X10" s="816"/>
      <c r="Y10" s="816"/>
      <c r="Z10" s="816">
        <v>0</v>
      </c>
      <c r="AA10" s="816"/>
      <c r="AB10" s="816"/>
      <c r="AC10" s="816"/>
      <c r="AD10" s="816"/>
      <c r="AE10" s="816"/>
      <c r="AF10" s="816">
        <v>5.4</v>
      </c>
      <c r="AG10" s="816"/>
      <c r="AH10" s="816"/>
      <c r="AI10" s="924"/>
      <c r="AJ10" s="818"/>
      <c r="AK10" s="1397">
        <f t="shared" si="7"/>
        <v>2444.31</v>
      </c>
      <c r="AL10" s="1398">
        <f t="shared" si="4"/>
        <v>970.56999999999994</v>
      </c>
      <c r="AM10" s="842"/>
      <c r="AN10" s="1538"/>
      <c r="AO10" s="1128"/>
      <c r="AP10" s="814">
        <v>0</v>
      </c>
      <c r="AQ10" s="814">
        <v>0</v>
      </c>
      <c r="AR10" s="814">
        <v>467.99999999999994</v>
      </c>
      <c r="AS10" s="814"/>
      <c r="AT10" s="814"/>
      <c r="AU10" s="814"/>
      <c r="AV10" s="814"/>
      <c r="AW10" s="814"/>
      <c r="AX10" s="1139"/>
      <c r="AY10" s="815"/>
      <c r="AZ10" s="1140"/>
      <c r="BA10" s="1137"/>
      <c r="BB10" s="816"/>
      <c r="BC10" s="924"/>
      <c r="BD10" s="923">
        <v>502.57</v>
      </c>
      <c r="BE10" s="1386"/>
      <c r="BF10" s="847"/>
      <c r="BG10" s="847"/>
      <c r="BH10" s="847"/>
      <c r="BI10"/>
      <c r="BJ10" s="847"/>
      <c r="BK10" s="847"/>
      <c r="BL10" s="847"/>
      <c r="BN10" s="847"/>
    </row>
    <row r="11" spans="1:66" ht="15" customHeight="1">
      <c r="A11" s="646">
        <f t="shared" si="8"/>
        <v>43805</v>
      </c>
      <c r="B11" s="736">
        <f t="shared" si="5"/>
        <v>20.55</v>
      </c>
      <c r="C11" s="736">
        <v>493.2</v>
      </c>
      <c r="D11" s="1391">
        <f t="shared" si="6"/>
        <v>342.16000000000031</v>
      </c>
      <c r="E11" s="1392">
        <f t="shared" si="0"/>
        <v>342.16000000000037</v>
      </c>
      <c r="F11" s="1520">
        <v>493.2</v>
      </c>
      <c r="G11" s="1501">
        <f t="shared" si="1"/>
        <v>0</v>
      </c>
      <c r="H11" s="840">
        <v>493.2</v>
      </c>
      <c r="I11" s="846">
        <v>0</v>
      </c>
      <c r="J11" s="353">
        <v>0</v>
      </c>
      <c r="K11" s="642">
        <v>493.2</v>
      </c>
      <c r="L11" s="1395">
        <f t="shared" si="2"/>
        <v>493.2</v>
      </c>
      <c r="M11" s="1300">
        <v>0</v>
      </c>
      <c r="N11" s="1300"/>
      <c r="O11" s="1300">
        <v>0</v>
      </c>
      <c r="P11" s="1394">
        <f t="shared" si="3"/>
        <v>493.2</v>
      </c>
      <c r="Q11" s="816"/>
      <c r="R11" s="816"/>
      <c r="S11" s="816">
        <v>0</v>
      </c>
      <c r="T11" s="816"/>
      <c r="U11" s="816"/>
      <c r="V11" s="816">
        <v>493.2</v>
      </c>
      <c r="W11" s="816"/>
      <c r="X11" s="816"/>
      <c r="Y11" s="816"/>
      <c r="Z11" s="816">
        <v>0</v>
      </c>
      <c r="AA11" s="816"/>
      <c r="AB11" s="816"/>
      <c r="AC11" s="816"/>
      <c r="AD11" s="816"/>
      <c r="AE11" s="816"/>
      <c r="AF11" s="816">
        <v>0</v>
      </c>
      <c r="AG11" s="816"/>
      <c r="AH11" s="816"/>
      <c r="AI11" s="924"/>
      <c r="AJ11" s="818"/>
      <c r="AK11" s="1397">
        <f t="shared" si="7"/>
        <v>2937.5099999999998</v>
      </c>
      <c r="AL11" s="1398">
        <f t="shared" si="4"/>
        <v>0</v>
      </c>
      <c r="AM11" s="842"/>
      <c r="AN11" s="1538"/>
      <c r="AO11" s="1128"/>
      <c r="AP11" s="814">
        <v>0</v>
      </c>
      <c r="AQ11" s="814">
        <v>0</v>
      </c>
      <c r="AR11" s="814">
        <v>0</v>
      </c>
      <c r="AS11" s="814"/>
      <c r="AT11" s="814"/>
      <c r="AU11" s="814"/>
      <c r="AV11" s="814"/>
      <c r="AW11" s="814"/>
      <c r="AX11" s="1139"/>
      <c r="AY11" s="815"/>
      <c r="AZ11" s="1140"/>
      <c r="BA11" s="1137"/>
      <c r="BB11" s="816"/>
      <c r="BC11" s="924"/>
      <c r="BD11" s="923"/>
      <c r="BE11" s="1386"/>
      <c r="BF11" s="847"/>
      <c r="BG11" s="847"/>
      <c r="BH11" s="847"/>
      <c r="BI11"/>
      <c r="BJ11" s="847"/>
      <c r="BK11" s="847"/>
      <c r="BL11" s="847"/>
      <c r="BN11" s="847"/>
    </row>
    <row r="12" spans="1:66">
      <c r="A12" s="646">
        <f t="shared" si="8"/>
        <v>43806</v>
      </c>
      <c r="B12" s="736">
        <f t="shared" si="5"/>
        <v>20.7</v>
      </c>
      <c r="C12" s="736">
        <v>496.8</v>
      </c>
      <c r="D12" s="1391">
        <f t="shared" si="6"/>
        <v>342.16000000000037</v>
      </c>
      <c r="E12" s="1392">
        <f t="shared" si="0"/>
        <v>342.16000000000037</v>
      </c>
      <c r="F12" s="1520">
        <v>496.8</v>
      </c>
      <c r="G12" s="1501">
        <f t="shared" si="1"/>
        <v>0</v>
      </c>
      <c r="H12" s="840">
        <v>235.8</v>
      </c>
      <c r="I12" s="845">
        <v>261</v>
      </c>
      <c r="J12" s="353">
        <v>0</v>
      </c>
      <c r="K12" s="642">
        <v>496.8</v>
      </c>
      <c r="L12" s="1395">
        <f t="shared" si="2"/>
        <v>496.8</v>
      </c>
      <c r="M12" s="1300">
        <v>0</v>
      </c>
      <c r="N12" s="1300"/>
      <c r="O12" s="1300">
        <v>0</v>
      </c>
      <c r="P12" s="1394">
        <f t="shared" si="3"/>
        <v>496.8</v>
      </c>
      <c r="Q12" s="816"/>
      <c r="R12" s="816">
        <v>261</v>
      </c>
      <c r="S12" s="816">
        <v>0</v>
      </c>
      <c r="T12" s="816"/>
      <c r="U12" s="816">
        <v>72</v>
      </c>
      <c r="V12" s="816">
        <v>163.80000000000001</v>
      </c>
      <c r="W12" s="816"/>
      <c r="X12" s="816"/>
      <c r="Y12" s="816"/>
      <c r="Z12" s="816">
        <v>0</v>
      </c>
      <c r="AA12" s="816"/>
      <c r="AB12" s="816"/>
      <c r="AC12" s="816"/>
      <c r="AD12" s="816"/>
      <c r="AE12" s="816"/>
      <c r="AF12" s="816">
        <v>0</v>
      </c>
      <c r="AG12" s="816"/>
      <c r="AH12" s="816"/>
      <c r="AI12" s="924"/>
      <c r="AJ12" s="818"/>
      <c r="AK12" s="1397">
        <f t="shared" si="7"/>
        <v>3434.31</v>
      </c>
      <c r="AL12" s="1398">
        <f t="shared" si="4"/>
        <v>1242</v>
      </c>
      <c r="AM12" s="842"/>
      <c r="AN12" s="1538"/>
      <c r="AO12" s="1128"/>
      <c r="AP12" s="814">
        <v>0</v>
      </c>
      <c r="AQ12" s="814">
        <v>0</v>
      </c>
      <c r="AR12" s="814">
        <v>1242</v>
      </c>
      <c r="AS12" s="814"/>
      <c r="AT12" s="814"/>
      <c r="AU12" s="814"/>
      <c r="AV12" s="814"/>
      <c r="AW12" s="814"/>
      <c r="AX12" s="1139"/>
      <c r="AY12" s="815"/>
      <c r="AZ12" s="1140"/>
      <c r="BA12" s="1137"/>
      <c r="BB12" s="816"/>
      <c r="BC12" s="924"/>
      <c r="BD12" s="923"/>
      <c r="BE12" s="1386"/>
      <c r="BF12" s="847"/>
      <c r="BG12" s="847"/>
      <c r="BH12" s="847"/>
      <c r="BI12"/>
      <c r="BJ12" s="847"/>
      <c r="BK12" s="847"/>
      <c r="BL12" s="847"/>
      <c r="BN12" s="847"/>
    </row>
    <row r="13" spans="1:66" ht="15" customHeight="1">
      <c r="A13" s="646">
        <f t="shared" si="8"/>
        <v>43807</v>
      </c>
      <c r="B13" s="736">
        <f t="shared" si="5"/>
        <v>20.7</v>
      </c>
      <c r="C13" s="736">
        <v>496.8</v>
      </c>
      <c r="D13" s="1391">
        <f t="shared" si="6"/>
        <v>342.16000000000037</v>
      </c>
      <c r="E13" s="1392">
        <f t="shared" si="0"/>
        <v>342.16000000000037</v>
      </c>
      <c r="F13" s="1520">
        <v>496.8</v>
      </c>
      <c r="G13" s="1501">
        <f t="shared" si="1"/>
        <v>0</v>
      </c>
      <c r="H13" s="840">
        <v>43.20000000000001</v>
      </c>
      <c r="I13" s="845">
        <v>450</v>
      </c>
      <c r="J13" s="353"/>
      <c r="K13" s="642">
        <v>496.8</v>
      </c>
      <c r="L13" s="1395">
        <f t="shared" si="2"/>
        <v>493.2</v>
      </c>
      <c r="M13" s="1300">
        <v>0</v>
      </c>
      <c r="N13" s="1300"/>
      <c r="O13" s="1300">
        <v>3.6</v>
      </c>
      <c r="P13" s="1394">
        <f t="shared" si="3"/>
        <v>496.8</v>
      </c>
      <c r="Q13" s="816"/>
      <c r="R13" s="816">
        <v>450</v>
      </c>
      <c r="S13" s="816">
        <v>0</v>
      </c>
      <c r="T13" s="816"/>
      <c r="U13" s="816"/>
      <c r="V13" s="816">
        <v>43.20000000000001</v>
      </c>
      <c r="W13" s="816"/>
      <c r="X13" s="816"/>
      <c r="Y13" s="816"/>
      <c r="Z13" s="816">
        <v>0</v>
      </c>
      <c r="AA13" s="816"/>
      <c r="AB13" s="816"/>
      <c r="AC13" s="816"/>
      <c r="AD13" s="816"/>
      <c r="AE13" s="816"/>
      <c r="AF13" s="816">
        <v>3.6</v>
      </c>
      <c r="AG13" s="816"/>
      <c r="AH13" s="816"/>
      <c r="AI13" s="924"/>
      <c r="AJ13" s="818"/>
      <c r="AK13" s="1397">
        <f t="shared" si="7"/>
        <v>3931.11</v>
      </c>
      <c r="AL13" s="1398">
        <f t="shared" si="4"/>
        <v>0</v>
      </c>
      <c r="AM13" s="842"/>
      <c r="AN13" s="1538"/>
      <c r="AO13" s="1128"/>
      <c r="AP13" s="814">
        <v>0</v>
      </c>
      <c r="AQ13" s="814">
        <v>0</v>
      </c>
      <c r="AR13" s="814">
        <v>0</v>
      </c>
      <c r="AS13" s="814"/>
      <c r="AT13" s="814"/>
      <c r="AU13" s="814"/>
      <c r="AV13" s="814"/>
      <c r="AW13" s="814"/>
      <c r="AX13" s="1139"/>
      <c r="AY13" s="815"/>
      <c r="AZ13" s="1140"/>
      <c r="BA13" s="1137"/>
      <c r="BB13" s="816"/>
      <c r="BC13" s="924"/>
      <c r="BD13" s="923"/>
      <c r="BE13" s="1386"/>
      <c r="BF13" s="847"/>
      <c r="BG13" s="847"/>
      <c r="BH13" s="847"/>
      <c r="BI13"/>
      <c r="BJ13" s="847"/>
      <c r="BK13" s="847"/>
      <c r="BL13" s="847"/>
      <c r="BN13" s="847"/>
    </row>
    <row r="14" spans="1:66">
      <c r="A14" s="646">
        <f t="shared" si="8"/>
        <v>43808</v>
      </c>
      <c r="B14" s="736">
        <f t="shared" si="5"/>
        <v>20.400000000000002</v>
      </c>
      <c r="C14" s="736">
        <v>489.6</v>
      </c>
      <c r="D14" s="1391">
        <f t="shared" si="6"/>
        <v>342.16000000000037</v>
      </c>
      <c r="E14" s="1392">
        <f t="shared" si="0"/>
        <v>342.16000000000042</v>
      </c>
      <c r="F14" s="1520">
        <v>489.6</v>
      </c>
      <c r="G14" s="1501">
        <f t="shared" si="1"/>
        <v>0</v>
      </c>
      <c r="H14" s="840">
        <v>381.6</v>
      </c>
      <c r="I14" s="846">
        <v>108</v>
      </c>
      <c r="J14" s="353">
        <v>0</v>
      </c>
      <c r="K14" s="642">
        <v>489.6</v>
      </c>
      <c r="L14" s="1395">
        <f t="shared" si="2"/>
        <v>489.6</v>
      </c>
      <c r="M14" s="1300">
        <v>0</v>
      </c>
      <c r="N14" s="1300"/>
      <c r="O14" s="1300">
        <v>0</v>
      </c>
      <c r="P14" s="1394">
        <f t="shared" si="3"/>
        <v>489.6</v>
      </c>
      <c r="Q14" s="816"/>
      <c r="R14" s="816">
        <v>108</v>
      </c>
      <c r="S14" s="816">
        <v>0</v>
      </c>
      <c r="T14" s="816"/>
      <c r="U14" s="816"/>
      <c r="V14" s="816">
        <v>381.6</v>
      </c>
      <c r="W14" s="816"/>
      <c r="X14" s="816"/>
      <c r="Y14" s="816"/>
      <c r="Z14" s="816">
        <v>0</v>
      </c>
      <c r="AA14" s="816"/>
      <c r="AB14" s="816"/>
      <c r="AC14" s="816"/>
      <c r="AD14" s="816"/>
      <c r="AE14" s="816"/>
      <c r="AF14" s="816">
        <v>0</v>
      </c>
      <c r="AG14" s="816"/>
      <c r="AH14" s="816"/>
      <c r="AI14" s="924"/>
      <c r="AJ14" s="818"/>
      <c r="AK14" s="1397">
        <f t="shared" si="7"/>
        <v>4420.71</v>
      </c>
      <c r="AL14" s="1398">
        <f t="shared" si="4"/>
        <v>0</v>
      </c>
      <c r="AM14" s="842"/>
      <c r="AN14" s="1538"/>
      <c r="AO14" s="1128"/>
      <c r="AP14" s="814">
        <v>0</v>
      </c>
      <c r="AQ14" s="814">
        <v>0</v>
      </c>
      <c r="AR14" s="814">
        <v>0</v>
      </c>
      <c r="AS14" s="814"/>
      <c r="AT14" s="814"/>
      <c r="AU14" s="814"/>
      <c r="AV14" s="814"/>
      <c r="AW14" s="814"/>
      <c r="AX14" s="1139"/>
      <c r="AY14" s="815"/>
      <c r="AZ14" s="1140"/>
      <c r="BA14" s="1137"/>
      <c r="BB14" s="816"/>
      <c r="BC14" s="924"/>
      <c r="BD14" s="923"/>
      <c r="BE14" s="1386"/>
      <c r="BF14" s="847"/>
      <c r="BG14" s="847"/>
      <c r="BH14" s="847"/>
      <c r="BI14"/>
      <c r="BJ14" s="847"/>
      <c r="BK14" s="847"/>
      <c r="BL14" s="847"/>
      <c r="BN14" s="847"/>
    </row>
    <row r="15" spans="1:66" ht="15" customHeight="1">
      <c r="A15" s="646">
        <f t="shared" si="8"/>
        <v>43809</v>
      </c>
      <c r="B15" s="736">
        <f t="shared" si="5"/>
        <v>20.7</v>
      </c>
      <c r="C15" s="736">
        <v>496.8</v>
      </c>
      <c r="D15" s="1391">
        <f t="shared" si="6"/>
        <v>342.16000000000042</v>
      </c>
      <c r="E15" s="1392">
        <f t="shared" si="0"/>
        <v>854.47000000000037</v>
      </c>
      <c r="F15" s="1520">
        <v>112.5</v>
      </c>
      <c r="G15" s="1501">
        <f t="shared" si="1"/>
        <v>0</v>
      </c>
      <c r="H15" s="840">
        <v>609.51</v>
      </c>
      <c r="I15" s="846">
        <v>0</v>
      </c>
      <c r="J15" s="353">
        <v>0</v>
      </c>
      <c r="K15" s="642">
        <v>624.80999999999995</v>
      </c>
      <c r="L15" s="1395">
        <f t="shared" si="2"/>
        <v>609.51</v>
      </c>
      <c r="M15" s="1300">
        <v>0</v>
      </c>
      <c r="N15" s="1300"/>
      <c r="O15" s="1300">
        <v>15.3</v>
      </c>
      <c r="P15" s="1394">
        <f t="shared" si="3"/>
        <v>624.80999999999995</v>
      </c>
      <c r="Q15" s="816"/>
      <c r="R15" s="816"/>
      <c r="S15" s="816">
        <v>0</v>
      </c>
      <c r="T15" s="816"/>
      <c r="U15" s="816"/>
      <c r="V15" s="816">
        <v>97.200000000000045</v>
      </c>
      <c r="W15" s="816"/>
      <c r="X15" s="816"/>
      <c r="Y15" s="816"/>
      <c r="Z15" s="816">
        <v>0</v>
      </c>
      <c r="AA15" s="816"/>
      <c r="AB15" s="816"/>
      <c r="AC15" s="816"/>
      <c r="AD15" s="816"/>
      <c r="AE15" s="816"/>
      <c r="AF15" s="816">
        <v>15.3</v>
      </c>
      <c r="AG15" s="816"/>
      <c r="AH15" s="816"/>
      <c r="AI15" s="924">
        <v>512.30999999999995</v>
      </c>
      <c r="AJ15" s="818"/>
      <c r="AK15" s="1397">
        <f t="shared" si="7"/>
        <v>5045.5200000000004</v>
      </c>
      <c r="AL15" s="1398">
        <f t="shared" si="4"/>
        <v>180</v>
      </c>
      <c r="AM15" s="842"/>
      <c r="AN15" s="1538"/>
      <c r="AO15" s="1128"/>
      <c r="AP15" s="814">
        <v>0</v>
      </c>
      <c r="AQ15" s="814">
        <v>180</v>
      </c>
      <c r="AR15" s="814">
        <v>0</v>
      </c>
      <c r="AS15" s="814"/>
      <c r="AT15" s="814"/>
      <c r="AU15" s="814"/>
      <c r="AV15" s="814"/>
      <c r="AW15" s="814"/>
      <c r="AX15" s="1139"/>
      <c r="AY15" s="815"/>
      <c r="AZ15" s="1140"/>
      <c r="BA15" s="1137"/>
      <c r="BB15" s="816"/>
      <c r="BC15" s="924"/>
      <c r="BD15" s="923"/>
      <c r="BE15" s="1386"/>
      <c r="BF15" s="847"/>
      <c r="BG15" s="847"/>
      <c r="BH15" s="847"/>
      <c r="BI15"/>
      <c r="BJ15" s="847"/>
      <c r="BK15" s="847"/>
      <c r="BL15" s="847"/>
      <c r="BN15" s="847"/>
    </row>
    <row r="16" spans="1:66">
      <c r="A16" s="646">
        <f t="shared" si="8"/>
        <v>43810</v>
      </c>
      <c r="B16" s="736">
        <f t="shared" si="5"/>
        <v>20.7</v>
      </c>
      <c r="C16" s="736">
        <v>496.8</v>
      </c>
      <c r="D16" s="1391">
        <f t="shared" si="6"/>
        <v>854.47000000000037</v>
      </c>
      <c r="E16" s="1392">
        <f t="shared" si="0"/>
        <v>854.47000000000048</v>
      </c>
      <c r="F16" s="1520">
        <v>496.8</v>
      </c>
      <c r="G16" s="1501">
        <f t="shared" si="1"/>
        <v>0</v>
      </c>
      <c r="H16" s="840">
        <v>493.2</v>
      </c>
      <c r="I16" s="846">
        <v>0</v>
      </c>
      <c r="J16" s="353">
        <v>0</v>
      </c>
      <c r="K16" s="642">
        <v>496.8</v>
      </c>
      <c r="L16" s="1395">
        <f t="shared" si="2"/>
        <v>493.2</v>
      </c>
      <c r="M16" s="1300">
        <v>0</v>
      </c>
      <c r="N16" s="1300"/>
      <c r="O16" s="1300">
        <v>3.6</v>
      </c>
      <c r="P16" s="1394">
        <f t="shared" si="3"/>
        <v>496.8</v>
      </c>
      <c r="Q16" s="816"/>
      <c r="R16" s="816"/>
      <c r="S16" s="816">
        <v>0</v>
      </c>
      <c r="T16" s="816"/>
      <c r="U16" s="816"/>
      <c r="V16" s="816">
        <v>493.2</v>
      </c>
      <c r="W16" s="816"/>
      <c r="X16" s="816"/>
      <c r="Y16" s="816"/>
      <c r="Z16" s="816">
        <v>0</v>
      </c>
      <c r="AA16" s="816"/>
      <c r="AB16" s="816"/>
      <c r="AC16" s="816"/>
      <c r="AD16" s="816"/>
      <c r="AE16" s="816"/>
      <c r="AF16" s="816">
        <v>3.6</v>
      </c>
      <c r="AG16" s="816"/>
      <c r="AH16" s="816"/>
      <c r="AI16" s="924"/>
      <c r="AJ16" s="818"/>
      <c r="AK16" s="1397">
        <f t="shared" si="7"/>
        <v>5542.3200000000006</v>
      </c>
      <c r="AL16" s="1398">
        <f t="shared" si="4"/>
        <v>351</v>
      </c>
      <c r="AM16" s="842"/>
      <c r="AN16" s="1538">
        <v>45</v>
      </c>
      <c r="AO16" s="1128"/>
      <c r="AP16" s="814">
        <v>0</v>
      </c>
      <c r="AQ16" s="814">
        <v>306</v>
      </c>
      <c r="AR16" s="814">
        <v>0</v>
      </c>
      <c r="AS16" s="814"/>
      <c r="AT16" s="814"/>
      <c r="AU16" s="814"/>
      <c r="AV16" s="814"/>
      <c r="AW16" s="814"/>
      <c r="AX16" s="1139"/>
      <c r="AY16" s="815"/>
      <c r="AZ16" s="1140"/>
      <c r="BA16" s="1137"/>
      <c r="BB16" s="816"/>
      <c r="BC16" s="924"/>
      <c r="BD16" s="923"/>
      <c r="BE16" s="1386"/>
      <c r="BF16" s="847"/>
      <c r="BG16" s="847"/>
      <c r="BH16" s="847"/>
      <c r="BI16"/>
      <c r="BJ16" s="847"/>
      <c r="BK16" s="847"/>
      <c r="BL16" s="847"/>
      <c r="BN16" s="847"/>
    </row>
    <row r="17" spans="1:66" ht="15" customHeight="1">
      <c r="A17" s="646">
        <f t="shared" si="8"/>
        <v>43811</v>
      </c>
      <c r="B17" s="736">
        <f t="shared" si="5"/>
        <v>18.75</v>
      </c>
      <c r="C17" s="736">
        <v>450</v>
      </c>
      <c r="D17" s="1391">
        <f t="shared" si="6"/>
        <v>854.47000000000048</v>
      </c>
      <c r="E17" s="1392">
        <f t="shared" si="0"/>
        <v>808.56000000000051</v>
      </c>
      <c r="F17" s="628">
        <v>454.5</v>
      </c>
      <c r="G17" s="1501">
        <f t="shared" si="1"/>
        <v>0</v>
      </c>
      <c r="H17" s="840">
        <v>450</v>
      </c>
      <c r="I17" s="846">
        <v>0</v>
      </c>
      <c r="J17" s="353">
        <v>0</v>
      </c>
      <c r="K17" s="642">
        <v>454.5</v>
      </c>
      <c r="L17" s="1395">
        <f t="shared" si="2"/>
        <v>450</v>
      </c>
      <c r="M17" s="1300">
        <v>0</v>
      </c>
      <c r="N17" s="1300"/>
      <c r="O17" s="1300">
        <v>4.5</v>
      </c>
      <c r="P17" s="1394">
        <f t="shared" si="3"/>
        <v>454.5</v>
      </c>
      <c r="Q17" s="816"/>
      <c r="R17" s="816"/>
      <c r="S17" s="816">
        <v>0</v>
      </c>
      <c r="T17" s="816"/>
      <c r="U17" s="816"/>
      <c r="V17" s="816">
        <v>450</v>
      </c>
      <c r="W17" s="816"/>
      <c r="X17" s="816"/>
      <c r="Y17" s="816"/>
      <c r="Z17" s="816">
        <v>0</v>
      </c>
      <c r="AA17" s="816"/>
      <c r="AB17" s="816"/>
      <c r="AC17" s="816"/>
      <c r="AD17" s="816"/>
      <c r="AE17" s="816"/>
      <c r="AF17" s="816">
        <v>4.5</v>
      </c>
      <c r="AG17" s="816"/>
      <c r="AH17" s="816"/>
      <c r="AI17" s="924"/>
      <c r="AJ17" s="818"/>
      <c r="AK17" s="1397">
        <f t="shared" si="7"/>
        <v>5996.8200000000006</v>
      </c>
      <c r="AL17" s="1398">
        <f t="shared" si="4"/>
        <v>45.91</v>
      </c>
      <c r="AM17" s="842"/>
      <c r="AN17" s="1538"/>
      <c r="AO17" s="1128"/>
      <c r="AP17" s="814">
        <v>0</v>
      </c>
      <c r="AQ17" s="814">
        <v>0</v>
      </c>
      <c r="AR17" s="814">
        <v>0</v>
      </c>
      <c r="AS17" s="814"/>
      <c r="AT17" s="814"/>
      <c r="AU17" s="814"/>
      <c r="AV17" s="814"/>
      <c r="AW17" s="814"/>
      <c r="AX17" s="1139"/>
      <c r="AY17" s="815"/>
      <c r="AZ17" s="1140"/>
      <c r="BA17" s="1137"/>
      <c r="BB17" s="816"/>
      <c r="BC17" s="924"/>
      <c r="BD17" s="923"/>
      <c r="BE17" s="1386">
        <v>45.91</v>
      </c>
      <c r="BF17" s="847"/>
      <c r="BG17" s="847"/>
      <c r="BH17" s="847"/>
      <c r="BI17"/>
      <c r="BJ17" s="847"/>
      <c r="BK17" s="847"/>
      <c r="BL17" s="847"/>
      <c r="BN17" s="847"/>
    </row>
    <row r="18" spans="1:66">
      <c r="A18" s="646">
        <f t="shared" si="8"/>
        <v>43812</v>
      </c>
      <c r="B18" s="736">
        <f t="shared" si="5"/>
        <v>18.75</v>
      </c>
      <c r="C18" s="736">
        <v>450</v>
      </c>
      <c r="D18" s="1391">
        <f t="shared" si="6"/>
        <v>808.56000000000051</v>
      </c>
      <c r="E18" s="1392">
        <f t="shared" si="0"/>
        <v>658.35000000000048</v>
      </c>
      <c r="F18" s="628">
        <v>450.9</v>
      </c>
      <c r="G18" s="1501">
        <f t="shared" si="1"/>
        <v>0</v>
      </c>
      <c r="H18" s="840">
        <v>450</v>
      </c>
      <c r="I18" s="846">
        <v>0</v>
      </c>
      <c r="J18" s="353">
        <v>0</v>
      </c>
      <c r="K18" s="642">
        <v>450.9</v>
      </c>
      <c r="L18" s="1395">
        <f t="shared" si="2"/>
        <v>450</v>
      </c>
      <c r="M18" s="1300">
        <v>0</v>
      </c>
      <c r="N18" s="1300"/>
      <c r="O18" s="1300">
        <v>0.9</v>
      </c>
      <c r="P18" s="1394">
        <f t="shared" si="3"/>
        <v>450.9</v>
      </c>
      <c r="Q18" s="816"/>
      <c r="R18" s="816"/>
      <c r="S18" s="816">
        <v>0</v>
      </c>
      <c r="T18" s="816"/>
      <c r="U18" s="816"/>
      <c r="V18" s="816">
        <v>450</v>
      </c>
      <c r="W18" s="816"/>
      <c r="X18" s="816"/>
      <c r="Y18" s="816"/>
      <c r="Z18" s="816">
        <v>0</v>
      </c>
      <c r="AA18" s="816"/>
      <c r="AB18" s="816"/>
      <c r="AC18" s="816"/>
      <c r="AD18" s="816"/>
      <c r="AE18" s="816"/>
      <c r="AF18" s="816">
        <v>0.9</v>
      </c>
      <c r="AG18" s="816"/>
      <c r="AH18" s="816"/>
      <c r="AI18" s="924"/>
      <c r="AJ18" s="818"/>
      <c r="AK18" s="1397">
        <f t="shared" si="7"/>
        <v>6447.72</v>
      </c>
      <c r="AL18" s="1398">
        <f t="shared" si="4"/>
        <v>150.21</v>
      </c>
      <c r="AM18" s="842"/>
      <c r="AN18" s="1538"/>
      <c r="AO18" s="1128"/>
      <c r="AP18" s="814">
        <v>0</v>
      </c>
      <c r="AQ18" s="814">
        <v>0</v>
      </c>
      <c r="AR18" s="814">
        <v>0</v>
      </c>
      <c r="AS18" s="814"/>
      <c r="AT18" s="814"/>
      <c r="AU18" s="814"/>
      <c r="AV18" s="814"/>
      <c r="AW18" s="814"/>
      <c r="AX18" s="1139"/>
      <c r="AY18" s="815"/>
      <c r="AZ18" s="1140"/>
      <c r="BA18" s="1137"/>
      <c r="BB18" s="816"/>
      <c r="BC18" s="924"/>
      <c r="BD18" s="923"/>
      <c r="BE18" s="1386">
        <v>150.21</v>
      </c>
      <c r="BF18" s="847"/>
      <c r="BG18" s="847"/>
      <c r="BH18" s="847"/>
      <c r="BI18"/>
      <c r="BJ18" s="847"/>
      <c r="BK18" s="847"/>
      <c r="BL18" s="847"/>
      <c r="BN18" s="847"/>
    </row>
    <row r="19" spans="1:66" ht="15" customHeight="1">
      <c r="A19" s="646">
        <f t="shared" si="8"/>
        <v>43813</v>
      </c>
      <c r="B19" s="736">
        <f t="shared" si="5"/>
        <v>15.447916666666666</v>
      </c>
      <c r="C19" s="736">
        <v>370.75</v>
      </c>
      <c r="D19" s="1391">
        <f t="shared" si="6"/>
        <v>658.35000000000048</v>
      </c>
      <c r="E19" s="1392">
        <f t="shared" si="0"/>
        <v>512.31000000000051</v>
      </c>
      <c r="F19" s="628">
        <v>171</v>
      </c>
      <c r="G19" s="1501">
        <f t="shared" si="1"/>
        <v>0</v>
      </c>
      <c r="H19" s="840">
        <v>162</v>
      </c>
      <c r="I19" s="846">
        <v>9</v>
      </c>
      <c r="J19" s="353">
        <v>0</v>
      </c>
      <c r="K19" s="642">
        <v>171</v>
      </c>
      <c r="L19" s="1395">
        <f t="shared" si="2"/>
        <v>171</v>
      </c>
      <c r="M19" s="1300">
        <v>0</v>
      </c>
      <c r="N19" s="1300"/>
      <c r="O19" s="1300">
        <v>0</v>
      </c>
      <c r="P19" s="1394">
        <f t="shared" si="3"/>
        <v>171</v>
      </c>
      <c r="Q19" s="816"/>
      <c r="R19" s="816">
        <v>9</v>
      </c>
      <c r="S19" s="816">
        <v>0</v>
      </c>
      <c r="T19" s="816"/>
      <c r="U19" s="816"/>
      <c r="V19" s="816">
        <v>162</v>
      </c>
      <c r="W19" s="816"/>
      <c r="X19" s="816"/>
      <c r="Y19" s="816"/>
      <c r="Z19" s="816">
        <v>0</v>
      </c>
      <c r="AA19" s="816"/>
      <c r="AB19" s="816"/>
      <c r="AC19" s="816"/>
      <c r="AD19" s="816"/>
      <c r="AE19" s="816"/>
      <c r="AF19" s="816">
        <v>0</v>
      </c>
      <c r="AG19" s="816"/>
      <c r="AH19" s="816"/>
      <c r="AI19" s="924"/>
      <c r="AJ19" s="818"/>
      <c r="AK19" s="1397">
        <f t="shared" si="7"/>
        <v>6618.72</v>
      </c>
      <c r="AL19" s="1398">
        <f t="shared" si="4"/>
        <v>524.04</v>
      </c>
      <c r="AM19" s="842"/>
      <c r="AN19" s="1538"/>
      <c r="AO19" s="1128"/>
      <c r="AP19" s="814">
        <v>0</v>
      </c>
      <c r="AQ19" s="814">
        <v>0</v>
      </c>
      <c r="AR19" s="814">
        <v>378</v>
      </c>
      <c r="AS19" s="814"/>
      <c r="AT19" s="814"/>
      <c r="AU19" s="814"/>
      <c r="AV19" s="814"/>
      <c r="AW19" s="814"/>
      <c r="AX19" s="1139"/>
      <c r="AY19" s="815"/>
      <c r="AZ19" s="1140"/>
      <c r="BA19" s="1137"/>
      <c r="BB19" s="816"/>
      <c r="BC19" s="924"/>
      <c r="BD19" s="923"/>
      <c r="BE19" s="1386">
        <v>146.04</v>
      </c>
      <c r="BF19" s="847"/>
      <c r="BG19" s="847"/>
      <c r="BH19" s="847"/>
      <c r="BI19"/>
      <c r="BJ19" s="847"/>
      <c r="BK19" s="847"/>
      <c r="BL19" s="847"/>
      <c r="BN19" s="847"/>
    </row>
    <row r="20" spans="1:66">
      <c r="A20" s="646">
        <f t="shared" si="8"/>
        <v>43814</v>
      </c>
      <c r="B20" s="736">
        <f t="shared" si="5"/>
        <v>0</v>
      </c>
      <c r="C20" s="736">
        <v>0</v>
      </c>
      <c r="D20" s="1391">
        <f t="shared" si="6"/>
        <v>512.31000000000051</v>
      </c>
      <c r="E20" s="1392">
        <f t="shared" si="0"/>
        <v>512.31000000000051</v>
      </c>
      <c r="F20" s="628">
        <v>0</v>
      </c>
      <c r="G20" s="1501">
        <f t="shared" si="1"/>
        <v>0</v>
      </c>
      <c r="H20" s="840">
        <v>0</v>
      </c>
      <c r="I20" s="846">
        <v>0</v>
      </c>
      <c r="J20" s="353">
        <v>0</v>
      </c>
      <c r="K20" s="642">
        <v>0</v>
      </c>
      <c r="L20" s="1395">
        <f t="shared" si="2"/>
        <v>0</v>
      </c>
      <c r="M20" s="1300">
        <v>0</v>
      </c>
      <c r="N20" s="1300"/>
      <c r="O20" s="1300">
        <v>0</v>
      </c>
      <c r="P20" s="1394">
        <f t="shared" si="3"/>
        <v>0</v>
      </c>
      <c r="Q20" s="816"/>
      <c r="R20" s="816"/>
      <c r="S20" s="816">
        <v>0</v>
      </c>
      <c r="T20" s="816"/>
      <c r="U20" s="816"/>
      <c r="V20" s="816">
        <v>0</v>
      </c>
      <c r="W20" s="816"/>
      <c r="X20" s="816"/>
      <c r="Y20" s="816"/>
      <c r="Z20" s="816">
        <v>0</v>
      </c>
      <c r="AA20" s="816"/>
      <c r="AB20" s="816"/>
      <c r="AC20" s="816"/>
      <c r="AD20" s="816"/>
      <c r="AE20" s="816"/>
      <c r="AF20" s="816">
        <v>0</v>
      </c>
      <c r="AG20" s="816"/>
      <c r="AH20" s="816"/>
      <c r="AI20" s="924"/>
      <c r="AJ20" s="818"/>
      <c r="AK20" s="1397">
        <f t="shared" si="7"/>
        <v>6618.72</v>
      </c>
      <c r="AL20" s="1398">
        <f t="shared" si="4"/>
        <v>0</v>
      </c>
      <c r="AM20" s="842"/>
      <c r="AN20" s="1538"/>
      <c r="AO20" s="1128"/>
      <c r="AP20" s="814">
        <v>0</v>
      </c>
      <c r="AQ20" s="814">
        <v>0</v>
      </c>
      <c r="AR20" s="814">
        <v>0</v>
      </c>
      <c r="AS20" s="814"/>
      <c r="AT20" s="814"/>
      <c r="AU20" s="814"/>
      <c r="AV20" s="814"/>
      <c r="AW20" s="814"/>
      <c r="AX20" s="1139"/>
      <c r="AY20" s="815"/>
      <c r="AZ20" s="1140"/>
      <c r="BA20" s="1137"/>
      <c r="BB20" s="816"/>
      <c r="BC20" s="924"/>
      <c r="BD20" s="923"/>
      <c r="BE20" s="1386"/>
      <c r="BF20" s="847"/>
      <c r="BG20" s="847"/>
      <c r="BH20" s="847"/>
      <c r="BI20"/>
      <c r="BJ20" s="847"/>
      <c r="BK20" s="847"/>
      <c r="BL20" s="847"/>
      <c r="BN20" s="847"/>
    </row>
    <row r="21" spans="1:66" ht="15" customHeight="1">
      <c r="A21" s="646">
        <f t="shared" si="8"/>
        <v>43815</v>
      </c>
      <c r="B21" s="736">
        <f t="shared" si="5"/>
        <v>13.049999999999999</v>
      </c>
      <c r="C21" s="736">
        <v>313.2</v>
      </c>
      <c r="D21" s="1391">
        <f t="shared" si="6"/>
        <v>512.31000000000051</v>
      </c>
      <c r="E21" s="1392">
        <f t="shared" si="0"/>
        <v>376.90000000000055</v>
      </c>
      <c r="F21" s="628">
        <v>384.29999999999995</v>
      </c>
      <c r="G21" s="1501">
        <f t="shared" si="1"/>
        <v>0</v>
      </c>
      <c r="H21" s="840">
        <v>35.999999999999986</v>
      </c>
      <c r="I21" s="846">
        <v>275.39999999999998</v>
      </c>
      <c r="J21" s="353">
        <v>0</v>
      </c>
      <c r="K21" s="642">
        <v>384.29999999999995</v>
      </c>
      <c r="L21" s="1395">
        <f t="shared" si="2"/>
        <v>311.39999999999998</v>
      </c>
      <c r="M21" s="1300">
        <v>66.599999999999994</v>
      </c>
      <c r="N21" s="1300"/>
      <c r="O21" s="1300">
        <v>6.3</v>
      </c>
      <c r="P21" s="1394">
        <f t="shared" si="3"/>
        <v>384.3</v>
      </c>
      <c r="Q21" s="816"/>
      <c r="R21" s="816">
        <v>275.39999999999998</v>
      </c>
      <c r="S21" s="816">
        <v>0</v>
      </c>
      <c r="T21" s="816"/>
      <c r="U21" s="816">
        <v>36</v>
      </c>
      <c r="V21" s="816">
        <v>-1.4210854715202004E-14</v>
      </c>
      <c r="W21" s="816"/>
      <c r="X21" s="816"/>
      <c r="Y21" s="816"/>
      <c r="Z21" s="816">
        <v>66.599999999999994</v>
      </c>
      <c r="AA21" s="816"/>
      <c r="AB21" s="816"/>
      <c r="AC21" s="816"/>
      <c r="AD21" s="816"/>
      <c r="AE21" s="816"/>
      <c r="AF21" s="816">
        <v>6.3</v>
      </c>
      <c r="AG21" s="816"/>
      <c r="AH21" s="816"/>
      <c r="AI21" s="924"/>
      <c r="AJ21" s="818"/>
      <c r="AK21" s="1397">
        <f t="shared" si="7"/>
        <v>7003.02</v>
      </c>
      <c r="AL21" s="1398">
        <f t="shared" si="4"/>
        <v>243.41</v>
      </c>
      <c r="AM21" s="842"/>
      <c r="AN21" s="1538"/>
      <c r="AO21" s="1128">
        <v>108</v>
      </c>
      <c r="AP21" s="814">
        <v>0</v>
      </c>
      <c r="AQ21" s="814">
        <v>0</v>
      </c>
      <c r="AR21" s="814">
        <v>0</v>
      </c>
      <c r="AS21" s="814"/>
      <c r="AT21" s="814"/>
      <c r="AU21" s="814"/>
      <c r="AV21" s="814"/>
      <c r="AW21" s="814"/>
      <c r="AX21" s="1139"/>
      <c r="AY21" s="815"/>
      <c r="AZ21" s="1140"/>
      <c r="BA21" s="1137"/>
      <c r="BB21" s="816"/>
      <c r="BC21" s="924"/>
      <c r="BD21" s="923"/>
      <c r="BE21" s="1386">
        <v>135.41</v>
      </c>
      <c r="BF21" s="847"/>
      <c r="BG21" s="847"/>
      <c r="BH21" s="847"/>
      <c r="BI21"/>
      <c r="BJ21" s="847"/>
      <c r="BK21" s="847"/>
      <c r="BL21" s="847"/>
      <c r="BN21" s="847"/>
    </row>
    <row r="22" spans="1:66">
      <c r="A22" s="646">
        <f t="shared" si="8"/>
        <v>43816</v>
      </c>
      <c r="B22" s="736">
        <f t="shared" si="5"/>
        <v>16.349999999999998</v>
      </c>
      <c r="C22" s="736">
        <v>392.4</v>
      </c>
      <c r="D22" s="1391">
        <f t="shared" si="6"/>
        <v>376.90000000000055</v>
      </c>
      <c r="E22" s="1392">
        <f t="shared" si="0"/>
        <v>240.88000000000056</v>
      </c>
      <c r="F22" s="628">
        <v>392.4</v>
      </c>
      <c r="G22" s="1501">
        <f t="shared" si="1"/>
        <v>0</v>
      </c>
      <c r="H22" s="840">
        <v>0</v>
      </c>
      <c r="I22" s="846">
        <v>392.4</v>
      </c>
      <c r="J22" s="353">
        <v>0</v>
      </c>
      <c r="K22" s="642">
        <v>392.4</v>
      </c>
      <c r="L22" s="1395">
        <f t="shared" si="2"/>
        <v>392.4</v>
      </c>
      <c r="M22" s="1300">
        <v>0</v>
      </c>
      <c r="N22" s="1300"/>
      <c r="O22" s="1300">
        <v>0</v>
      </c>
      <c r="P22" s="1394">
        <f t="shared" si="3"/>
        <v>392.4</v>
      </c>
      <c r="Q22" s="816"/>
      <c r="R22" s="816">
        <v>392.4</v>
      </c>
      <c r="S22" s="816">
        <v>0</v>
      </c>
      <c r="T22" s="816"/>
      <c r="U22" s="816"/>
      <c r="V22" s="816">
        <v>0</v>
      </c>
      <c r="W22" s="816"/>
      <c r="X22" s="816"/>
      <c r="Y22" s="816"/>
      <c r="Z22" s="816">
        <v>0</v>
      </c>
      <c r="AA22" s="816"/>
      <c r="AB22" s="816"/>
      <c r="AC22" s="816"/>
      <c r="AD22" s="816"/>
      <c r="AE22" s="816"/>
      <c r="AF22" s="816">
        <v>0</v>
      </c>
      <c r="AG22" s="816"/>
      <c r="AH22" s="816"/>
      <c r="AI22" s="924"/>
      <c r="AJ22" s="818"/>
      <c r="AK22" s="1397">
        <f t="shared" si="7"/>
        <v>7395.42</v>
      </c>
      <c r="AL22" s="1398">
        <f t="shared" si="4"/>
        <v>658.02</v>
      </c>
      <c r="AM22" s="842"/>
      <c r="AN22" s="1538"/>
      <c r="AO22" s="1128"/>
      <c r="AP22" s="814">
        <v>0</v>
      </c>
      <c r="AQ22" s="814">
        <v>0</v>
      </c>
      <c r="AR22" s="814">
        <v>522</v>
      </c>
      <c r="AS22" s="814"/>
      <c r="AT22" s="814"/>
      <c r="AU22" s="814"/>
      <c r="AV22" s="814"/>
      <c r="AW22" s="814"/>
      <c r="AX22" s="1139"/>
      <c r="AY22" s="815"/>
      <c r="AZ22" s="1140"/>
      <c r="BA22" s="1137"/>
      <c r="BB22" s="816"/>
      <c r="BC22" s="924"/>
      <c r="BD22" s="923"/>
      <c r="BE22" s="1386">
        <v>136.02000000000001</v>
      </c>
      <c r="BF22" s="847"/>
      <c r="BG22" s="847"/>
      <c r="BH22" s="847"/>
      <c r="BI22"/>
      <c r="BJ22" s="847"/>
      <c r="BK22" s="847"/>
      <c r="BL22" s="847"/>
      <c r="BN22" s="847"/>
    </row>
    <row r="23" spans="1:66" ht="15" customHeight="1">
      <c r="A23" s="647">
        <f t="shared" si="8"/>
        <v>43817</v>
      </c>
      <c r="B23" s="736">
        <f t="shared" si="5"/>
        <v>16.239528575836339</v>
      </c>
      <c r="C23" s="736">
        <v>389.74868582007213</v>
      </c>
      <c r="D23" s="1391">
        <f t="shared" si="6"/>
        <v>240.88000000000056</v>
      </c>
      <c r="E23" s="1392">
        <f t="shared" si="0"/>
        <v>601.22000000000048</v>
      </c>
      <c r="F23" s="628">
        <v>279.2</v>
      </c>
      <c r="G23" s="1501">
        <f t="shared" si="1"/>
        <v>0</v>
      </c>
      <c r="H23" s="840">
        <v>414.34</v>
      </c>
      <c r="I23" s="846">
        <v>216.2</v>
      </c>
      <c r="J23" s="353">
        <v>0</v>
      </c>
      <c r="K23" s="642">
        <v>639.54</v>
      </c>
      <c r="L23" s="1395">
        <f t="shared" si="2"/>
        <v>630.54</v>
      </c>
      <c r="M23" s="1300">
        <v>0</v>
      </c>
      <c r="N23" s="1300"/>
      <c r="O23" s="1300">
        <v>9</v>
      </c>
      <c r="P23" s="1394">
        <f t="shared" si="3"/>
        <v>639.54</v>
      </c>
      <c r="Q23" s="816"/>
      <c r="R23" s="816">
        <v>178.2</v>
      </c>
      <c r="S23" s="816">
        <v>8</v>
      </c>
      <c r="T23" s="816">
        <v>30</v>
      </c>
      <c r="U23" s="816"/>
      <c r="V23" s="816">
        <v>54</v>
      </c>
      <c r="W23" s="816"/>
      <c r="X23" s="816"/>
      <c r="Y23" s="816"/>
      <c r="Z23" s="816">
        <v>0</v>
      </c>
      <c r="AA23" s="816"/>
      <c r="AB23" s="816"/>
      <c r="AC23" s="816"/>
      <c r="AD23" s="816"/>
      <c r="AE23" s="816"/>
      <c r="AF23" s="816">
        <v>9</v>
      </c>
      <c r="AG23" s="816"/>
      <c r="AH23" s="816"/>
      <c r="AI23" s="924">
        <v>360.34</v>
      </c>
      <c r="AJ23" s="818"/>
      <c r="AK23" s="1397">
        <f t="shared" si="7"/>
        <v>8034.96</v>
      </c>
      <c r="AL23" s="1398">
        <f t="shared" si="4"/>
        <v>168</v>
      </c>
      <c r="AM23" s="842"/>
      <c r="AN23" s="1538">
        <v>60</v>
      </c>
      <c r="AO23" s="1128"/>
      <c r="AP23" s="814">
        <v>0</v>
      </c>
      <c r="AQ23" s="814">
        <v>108</v>
      </c>
      <c r="AR23" s="814">
        <v>0</v>
      </c>
      <c r="AS23" s="814"/>
      <c r="AT23" s="814"/>
      <c r="AU23" s="814"/>
      <c r="AV23" s="814"/>
      <c r="AW23" s="814"/>
      <c r="AX23" s="1139"/>
      <c r="AY23" s="815"/>
      <c r="AZ23" s="1140"/>
      <c r="BA23" s="1137"/>
      <c r="BB23" s="816"/>
      <c r="BC23" s="924"/>
      <c r="BD23" s="923"/>
      <c r="BE23" s="1386"/>
      <c r="BF23" s="847"/>
      <c r="BG23" s="847"/>
      <c r="BH23" s="847"/>
      <c r="BI23"/>
      <c r="BJ23" s="847"/>
      <c r="BK23" s="847"/>
      <c r="BL23" s="847"/>
      <c r="BN23" s="847"/>
    </row>
    <row r="24" spans="1:66">
      <c r="A24" s="646">
        <f t="shared" si="8"/>
        <v>43818</v>
      </c>
      <c r="B24" s="736">
        <f t="shared" si="5"/>
        <v>19.337500000000002</v>
      </c>
      <c r="C24" s="736">
        <v>464.1</v>
      </c>
      <c r="D24" s="1391">
        <f t="shared" si="6"/>
        <v>601.22000000000048</v>
      </c>
      <c r="E24" s="1392">
        <f t="shared" si="0"/>
        <v>901.86000000000047</v>
      </c>
      <c r="F24" s="628">
        <v>93.599999999999966</v>
      </c>
      <c r="G24" s="1501">
        <f t="shared" si="1"/>
        <v>0</v>
      </c>
      <c r="H24" s="840">
        <v>514.54</v>
      </c>
      <c r="I24" s="846">
        <v>0</v>
      </c>
      <c r="J24" s="353">
        <v>0</v>
      </c>
      <c r="K24" s="642">
        <v>514.54</v>
      </c>
      <c r="L24" s="1395">
        <f t="shared" si="2"/>
        <v>514.54</v>
      </c>
      <c r="M24" s="1300">
        <v>0</v>
      </c>
      <c r="N24" s="1300"/>
      <c r="O24" s="1300">
        <v>0</v>
      </c>
      <c r="P24" s="1394">
        <f t="shared" si="3"/>
        <v>514.54</v>
      </c>
      <c r="Q24" s="816"/>
      <c r="R24" s="816"/>
      <c r="S24" s="816">
        <v>0</v>
      </c>
      <c r="T24" s="816"/>
      <c r="U24" s="816"/>
      <c r="V24" s="816">
        <v>93.599999999999966</v>
      </c>
      <c r="W24" s="816"/>
      <c r="X24" s="816"/>
      <c r="Y24" s="816"/>
      <c r="Z24" s="816">
        <v>0</v>
      </c>
      <c r="AA24" s="816"/>
      <c r="AB24" s="816"/>
      <c r="AC24" s="816"/>
      <c r="AD24" s="816"/>
      <c r="AE24" s="816"/>
      <c r="AF24" s="816">
        <v>0</v>
      </c>
      <c r="AG24" s="816"/>
      <c r="AH24" s="816"/>
      <c r="AI24" s="924">
        <v>420.94</v>
      </c>
      <c r="AJ24" s="818"/>
      <c r="AK24" s="1397">
        <f t="shared" si="7"/>
        <v>8549.5</v>
      </c>
      <c r="AL24" s="1398">
        <f t="shared" si="4"/>
        <v>1164.3</v>
      </c>
      <c r="AM24" s="842"/>
      <c r="AN24" s="1538"/>
      <c r="AO24" s="1128">
        <v>522</v>
      </c>
      <c r="AP24" s="814">
        <v>0</v>
      </c>
      <c r="AQ24" s="814">
        <v>0</v>
      </c>
      <c r="AR24" s="814">
        <v>522</v>
      </c>
      <c r="AS24" s="814"/>
      <c r="AT24" s="814"/>
      <c r="AU24" s="814"/>
      <c r="AV24" s="814"/>
      <c r="AW24" s="814"/>
      <c r="AX24" s="1139"/>
      <c r="AY24" s="815"/>
      <c r="AZ24" s="1140"/>
      <c r="BA24" s="1137"/>
      <c r="BB24" s="816"/>
      <c r="BC24" s="924"/>
      <c r="BD24" s="923"/>
      <c r="BE24" s="1386">
        <v>120.3</v>
      </c>
      <c r="BF24" s="847"/>
      <c r="BG24" s="847"/>
      <c r="BH24" s="847"/>
      <c r="BI24"/>
      <c r="BJ24" s="847"/>
      <c r="BK24" s="847"/>
      <c r="BL24" s="847"/>
      <c r="BN24" s="847"/>
    </row>
    <row r="25" spans="1:66">
      <c r="A25" s="647">
        <f t="shared" si="8"/>
        <v>43819</v>
      </c>
      <c r="B25" s="736">
        <f t="shared" si="5"/>
        <v>19.342083333333331</v>
      </c>
      <c r="C25" s="736">
        <v>464.21</v>
      </c>
      <c r="D25" s="1391">
        <f t="shared" si="6"/>
        <v>901.86000000000047</v>
      </c>
      <c r="E25" s="1392">
        <f t="shared" si="0"/>
        <v>826.72000000000048</v>
      </c>
      <c r="F25" s="628">
        <v>36</v>
      </c>
      <c r="G25" s="1501">
        <f t="shared" si="1"/>
        <v>0</v>
      </c>
      <c r="H25" s="840">
        <v>0</v>
      </c>
      <c r="I25" s="846">
        <v>36</v>
      </c>
      <c r="J25" s="353">
        <v>0</v>
      </c>
      <c r="K25" s="642">
        <v>36</v>
      </c>
      <c r="L25" s="1395">
        <f t="shared" si="2"/>
        <v>36</v>
      </c>
      <c r="M25" s="1300">
        <v>0</v>
      </c>
      <c r="N25" s="1300"/>
      <c r="O25" s="1300">
        <v>0</v>
      </c>
      <c r="P25" s="1394">
        <f t="shared" si="3"/>
        <v>36</v>
      </c>
      <c r="Q25" s="816"/>
      <c r="R25" s="816">
        <v>36</v>
      </c>
      <c r="S25" s="816">
        <v>0</v>
      </c>
      <c r="T25" s="816"/>
      <c r="U25" s="816"/>
      <c r="V25" s="816">
        <v>0</v>
      </c>
      <c r="W25" s="816"/>
      <c r="X25" s="816"/>
      <c r="Y25" s="816"/>
      <c r="Z25" s="816">
        <v>0</v>
      </c>
      <c r="AA25" s="816"/>
      <c r="AB25" s="816"/>
      <c r="AC25" s="816"/>
      <c r="AD25" s="816"/>
      <c r="AE25" s="816"/>
      <c r="AF25" s="816">
        <v>0</v>
      </c>
      <c r="AG25" s="816"/>
      <c r="AH25" s="816"/>
      <c r="AI25" s="924"/>
      <c r="AJ25" s="818"/>
      <c r="AK25" s="1397">
        <f t="shared" si="7"/>
        <v>8585.5</v>
      </c>
      <c r="AL25" s="1398">
        <f t="shared" si="4"/>
        <v>597.14</v>
      </c>
      <c r="AM25" s="842"/>
      <c r="AN25" s="1538"/>
      <c r="AO25" s="1128"/>
      <c r="AP25" s="814">
        <v>0</v>
      </c>
      <c r="AQ25" s="814">
        <v>0</v>
      </c>
      <c r="AR25" s="814">
        <v>522</v>
      </c>
      <c r="AS25" s="814"/>
      <c r="AT25" s="814"/>
      <c r="AU25" s="814"/>
      <c r="AV25" s="814"/>
      <c r="AW25" s="814"/>
      <c r="AX25" s="1139"/>
      <c r="AY25" s="815"/>
      <c r="AZ25" s="1140"/>
      <c r="BA25" s="1137"/>
      <c r="BB25" s="816"/>
      <c r="BC25" s="924"/>
      <c r="BD25" s="923"/>
      <c r="BE25" s="1386">
        <v>75.14</v>
      </c>
      <c r="BF25" s="847"/>
      <c r="BG25" s="847"/>
      <c r="BH25" s="847"/>
      <c r="BI25"/>
      <c r="BJ25" s="847"/>
      <c r="BK25" s="847"/>
      <c r="BL25" s="847"/>
      <c r="BN25" s="847"/>
    </row>
    <row r="26" spans="1:66">
      <c r="A26" s="646">
        <f t="shared" si="8"/>
        <v>43820</v>
      </c>
      <c r="B26" s="736">
        <f t="shared" si="5"/>
        <v>20.25</v>
      </c>
      <c r="C26" s="736">
        <v>486</v>
      </c>
      <c r="D26" s="1391">
        <f t="shared" si="6"/>
        <v>826.72000000000048</v>
      </c>
      <c r="E26" s="1392">
        <f t="shared" si="0"/>
        <v>751.78000000000043</v>
      </c>
      <c r="F26" s="628">
        <v>486</v>
      </c>
      <c r="G26" s="1501">
        <f t="shared" si="1"/>
        <v>0</v>
      </c>
      <c r="H26" s="840">
        <v>0</v>
      </c>
      <c r="I26" s="846">
        <v>486</v>
      </c>
      <c r="J26" s="353">
        <v>0</v>
      </c>
      <c r="K26" s="642">
        <v>486</v>
      </c>
      <c r="L26" s="1395">
        <f t="shared" si="2"/>
        <v>486</v>
      </c>
      <c r="M26" s="1300">
        <v>0</v>
      </c>
      <c r="N26" s="1300"/>
      <c r="O26" s="1300">
        <v>0</v>
      </c>
      <c r="P26" s="1394">
        <f t="shared" si="3"/>
        <v>486</v>
      </c>
      <c r="Q26" s="816"/>
      <c r="R26" s="816">
        <v>486</v>
      </c>
      <c r="S26" s="816">
        <v>0</v>
      </c>
      <c r="T26" s="816"/>
      <c r="U26" s="816"/>
      <c r="V26" s="816">
        <v>0</v>
      </c>
      <c r="W26" s="816"/>
      <c r="X26" s="816"/>
      <c r="Y26" s="816"/>
      <c r="Z26" s="816">
        <v>0</v>
      </c>
      <c r="AA26" s="816"/>
      <c r="AB26" s="816"/>
      <c r="AC26" s="816"/>
      <c r="AD26" s="816"/>
      <c r="AE26" s="816"/>
      <c r="AF26" s="816">
        <v>0</v>
      </c>
      <c r="AG26" s="816"/>
      <c r="AH26" s="816"/>
      <c r="AI26" s="924"/>
      <c r="AJ26" s="818"/>
      <c r="AK26" s="1397">
        <f t="shared" si="7"/>
        <v>9071.5</v>
      </c>
      <c r="AL26" s="1398">
        <f t="shared" si="4"/>
        <v>74.94</v>
      </c>
      <c r="AM26" s="842"/>
      <c r="AN26" s="1538"/>
      <c r="AO26" s="1128"/>
      <c r="AP26" s="814">
        <v>0</v>
      </c>
      <c r="AQ26" s="814">
        <v>0</v>
      </c>
      <c r="AR26" s="814">
        <v>0</v>
      </c>
      <c r="AS26" s="814"/>
      <c r="AT26" s="814"/>
      <c r="AU26" s="814"/>
      <c r="AV26" s="814"/>
      <c r="AW26" s="814"/>
      <c r="AX26" s="1139"/>
      <c r="AY26" s="815"/>
      <c r="AZ26" s="1140"/>
      <c r="BA26" s="1137"/>
      <c r="BB26" s="816"/>
      <c r="BC26" s="924"/>
      <c r="BD26" s="923"/>
      <c r="BE26" s="1386">
        <v>74.94</v>
      </c>
      <c r="BF26" s="847"/>
      <c r="BG26" s="847"/>
      <c r="BH26" s="847"/>
      <c r="BI26"/>
      <c r="BJ26" s="847"/>
      <c r="BK26" s="847"/>
      <c r="BL26" s="847"/>
      <c r="BN26" s="847"/>
    </row>
    <row r="27" spans="1:66">
      <c r="A27" s="646">
        <f t="shared" si="8"/>
        <v>43821</v>
      </c>
      <c r="B27" s="736">
        <f t="shared" si="5"/>
        <v>19.650000000000002</v>
      </c>
      <c r="C27" s="736">
        <v>471.6</v>
      </c>
      <c r="D27" s="1391">
        <f t="shared" si="6"/>
        <v>751.78000000000043</v>
      </c>
      <c r="E27" s="1392">
        <f t="shared" si="0"/>
        <v>751.78000000000054</v>
      </c>
      <c r="F27" s="628">
        <v>471.6</v>
      </c>
      <c r="G27" s="1501">
        <f t="shared" si="1"/>
        <v>0</v>
      </c>
      <c r="H27" s="840">
        <v>0</v>
      </c>
      <c r="I27" s="846">
        <v>471.6</v>
      </c>
      <c r="J27" s="353">
        <v>0</v>
      </c>
      <c r="K27" s="642">
        <v>471.6</v>
      </c>
      <c r="L27" s="1395">
        <f t="shared" si="2"/>
        <v>471.6</v>
      </c>
      <c r="M27" s="1300">
        <v>0</v>
      </c>
      <c r="N27" s="1300"/>
      <c r="O27" s="1300">
        <v>0</v>
      </c>
      <c r="P27" s="1394">
        <f t="shared" si="3"/>
        <v>471.6</v>
      </c>
      <c r="Q27" s="816"/>
      <c r="R27" s="816">
        <v>471.6</v>
      </c>
      <c r="S27" s="816">
        <v>0</v>
      </c>
      <c r="T27" s="816"/>
      <c r="U27" s="816"/>
      <c r="V27" s="816">
        <v>0</v>
      </c>
      <c r="W27" s="816"/>
      <c r="X27" s="816"/>
      <c r="Y27" s="816"/>
      <c r="Z27" s="816">
        <v>0</v>
      </c>
      <c r="AA27" s="816"/>
      <c r="AB27" s="816"/>
      <c r="AC27" s="816"/>
      <c r="AD27" s="816"/>
      <c r="AE27" s="816"/>
      <c r="AF27" s="816">
        <v>0</v>
      </c>
      <c r="AG27" s="816"/>
      <c r="AH27" s="816"/>
      <c r="AI27" s="924"/>
      <c r="AJ27" s="818"/>
      <c r="AK27" s="1397">
        <f t="shared" si="7"/>
        <v>9543.1</v>
      </c>
      <c r="AL27" s="1398">
        <f t="shared" si="4"/>
        <v>522</v>
      </c>
      <c r="AM27" s="842"/>
      <c r="AN27" s="1538"/>
      <c r="AO27" s="1128">
        <v>522</v>
      </c>
      <c r="AP27" s="814">
        <v>0</v>
      </c>
      <c r="AQ27" s="814">
        <v>0</v>
      </c>
      <c r="AR27" s="814">
        <v>0</v>
      </c>
      <c r="AS27" s="814"/>
      <c r="AT27" s="814"/>
      <c r="AU27" s="814"/>
      <c r="AV27" s="814"/>
      <c r="AW27" s="814"/>
      <c r="AX27" s="1139"/>
      <c r="AY27" s="815"/>
      <c r="AZ27" s="1140"/>
      <c r="BA27" s="1137"/>
      <c r="BB27" s="816"/>
      <c r="BC27" s="924"/>
      <c r="BD27" s="923"/>
      <c r="BE27" s="1386"/>
      <c r="BF27" s="847"/>
      <c r="BG27" s="847"/>
      <c r="BH27" s="847"/>
      <c r="BI27"/>
      <c r="BJ27" s="847"/>
      <c r="BK27" s="847"/>
      <c r="BL27" s="847"/>
      <c r="BN27" s="847"/>
    </row>
    <row r="28" spans="1:66">
      <c r="A28" s="646">
        <f t="shared" si="8"/>
        <v>43822</v>
      </c>
      <c r="B28" s="736">
        <f t="shared" si="5"/>
        <v>17.7</v>
      </c>
      <c r="C28" s="736">
        <v>424.8</v>
      </c>
      <c r="D28" s="1391">
        <f t="shared" si="6"/>
        <v>751.78000000000054</v>
      </c>
      <c r="E28" s="1392">
        <f t="shared" si="0"/>
        <v>616.29000000000065</v>
      </c>
      <c r="F28" s="628">
        <v>424.8</v>
      </c>
      <c r="G28" s="1501">
        <f t="shared" si="1"/>
        <v>0</v>
      </c>
      <c r="H28" s="840">
        <v>374.40000000000003</v>
      </c>
      <c r="I28" s="846">
        <v>50.4</v>
      </c>
      <c r="J28" s="353">
        <v>0</v>
      </c>
      <c r="K28" s="642">
        <v>424.8</v>
      </c>
      <c r="L28" s="1395">
        <f t="shared" si="2"/>
        <v>424.8</v>
      </c>
      <c r="M28" s="1300">
        <v>0</v>
      </c>
      <c r="N28" s="1300"/>
      <c r="O28" s="1300">
        <v>0</v>
      </c>
      <c r="P28" s="1394">
        <f t="shared" si="3"/>
        <v>424.8</v>
      </c>
      <c r="Q28" s="816"/>
      <c r="R28" s="816">
        <v>50.4</v>
      </c>
      <c r="S28" s="816">
        <v>0</v>
      </c>
      <c r="T28" s="816"/>
      <c r="U28" s="816"/>
      <c r="V28" s="816">
        <v>374.40000000000003</v>
      </c>
      <c r="W28" s="816"/>
      <c r="X28" s="816"/>
      <c r="Y28" s="816"/>
      <c r="Z28" s="816">
        <v>0</v>
      </c>
      <c r="AA28" s="816"/>
      <c r="AB28" s="816"/>
      <c r="AC28" s="816"/>
      <c r="AD28" s="816"/>
      <c r="AE28" s="816"/>
      <c r="AF28" s="816">
        <v>0</v>
      </c>
      <c r="AG28" s="816"/>
      <c r="AH28" s="816"/>
      <c r="AI28" s="924"/>
      <c r="AJ28" s="818"/>
      <c r="AK28" s="1397">
        <f t="shared" si="7"/>
        <v>9967.9</v>
      </c>
      <c r="AL28" s="1398">
        <f t="shared" si="4"/>
        <v>1223.49</v>
      </c>
      <c r="AM28" s="842"/>
      <c r="AN28" s="1538"/>
      <c r="AO28" s="1128">
        <v>522</v>
      </c>
      <c r="AP28" s="814">
        <v>8</v>
      </c>
      <c r="AQ28" s="814">
        <v>36</v>
      </c>
      <c r="AR28" s="814">
        <v>522</v>
      </c>
      <c r="AS28" s="814"/>
      <c r="AT28" s="814"/>
      <c r="AU28" s="814"/>
      <c r="AV28" s="814"/>
      <c r="AW28" s="814"/>
      <c r="AX28" s="1139"/>
      <c r="AY28" s="815"/>
      <c r="AZ28" s="1140"/>
      <c r="BA28" s="1137"/>
      <c r="BB28" s="816"/>
      <c r="BC28" s="924"/>
      <c r="BD28" s="923"/>
      <c r="BE28" s="1386">
        <v>135.49</v>
      </c>
      <c r="BF28" s="847"/>
      <c r="BG28" s="847"/>
      <c r="BH28" s="847"/>
      <c r="BI28"/>
      <c r="BJ28" s="847"/>
      <c r="BK28" s="847"/>
      <c r="BL28" s="847"/>
      <c r="BN28" s="847"/>
    </row>
    <row r="29" spans="1:66">
      <c r="A29" s="646">
        <f t="shared" si="8"/>
        <v>43823</v>
      </c>
      <c r="B29" s="736">
        <f t="shared" si="5"/>
        <v>0</v>
      </c>
      <c r="C29" s="736">
        <v>0</v>
      </c>
      <c r="D29" s="1391">
        <f t="shared" si="6"/>
        <v>616.29000000000065</v>
      </c>
      <c r="E29" s="1392">
        <f t="shared" si="0"/>
        <v>466.09000000000066</v>
      </c>
      <c r="F29" s="628">
        <v>0</v>
      </c>
      <c r="G29" s="1501">
        <f t="shared" si="1"/>
        <v>0</v>
      </c>
      <c r="H29" s="840">
        <v>0</v>
      </c>
      <c r="I29" s="846">
        <v>0</v>
      </c>
      <c r="J29" s="353">
        <v>0</v>
      </c>
      <c r="K29" s="642">
        <v>0</v>
      </c>
      <c r="L29" s="1395">
        <f t="shared" si="2"/>
        <v>0</v>
      </c>
      <c r="M29" s="1300">
        <v>0</v>
      </c>
      <c r="N29" s="1300"/>
      <c r="O29" s="1300">
        <v>0</v>
      </c>
      <c r="P29" s="1394">
        <f t="shared" si="3"/>
        <v>0</v>
      </c>
      <c r="Q29" s="816"/>
      <c r="R29" s="816"/>
      <c r="S29" s="816">
        <v>0</v>
      </c>
      <c r="T29" s="816"/>
      <c r="U29" s="816"/>
      <c r="V29" s="816">
        <v>0</v>
      </c>
      <c r="W29" s="816"/>
      <c r="X29" s="816"/>
      <c r="Y29" s="816"/>
      <c r="Z29" s="816">
        <v>0</v>
      </c>
      <c r="AA29" s="816"/>
      <c r="AB29" s="816"/>
      <c r="AC29" s="816"/>
      <c r="AD29" s="816"/>
      <c r="AE29" s="816"/>
      <c r="AF29" s="816">
        <v>0</v>
      </c>
      <c r="AG29" s="816"/>
      <c r="AH29" s="816"/>
      <c r="AI29" s="924"/>
      <c r="AJ29" s="818"/>
      <c r="AK29" s="1397">
        <f t="shared" si="7"/>
        <v>9967.9</v>
      </c>
      <c r="AL29" s="1398">
        <f t="shared" si="4"/>
        <v>672.2</v>
      </c>
      <c r="AM29" s="842"/>
      <c r="AN29" s="1538"/>
      <c r="AO29" s="1128"/>
      <c r="AP29" s="814">
        <v>0</v>
      </c>
      <c r="AQ29" s="814">
        <v>0</v>
      </c>
      <c r="AR29" s="814">
        <v>522</v>
      </c>
      <c r="AS29" s="814"/>
      <c r="AT29" s="814"/>
      <c r="AU29" s="814"/>
      <c r="AV29" s="814"/>
      <c r="AW29" s="814"/>
      <c r="AX29" s="1139"/>
      <c r="AY29" s="815"/>
      <c r="AZ29" s="1140"/>
      <c r="BA29" s="1137"/>
      <c r="BB29" s="816"/>
      <c r="BC29" s="924"/>
      <c r="BD29" s="923"/>
      <c r="BE29" s="1386">
        <v>150.19999999999999</v>
      </c>
      <c r="BF29" s="847"/>
      <c r="BG29" s="847"/>
      <c r="BH29" s="847"/>
      <c r="BI29"/>
      <c r="BJ29" s="847"/>
      <c r="BK29" s="847"/>
      <c r="BL29" s="847"/>
      <c r="BN29" s="847"/>
    </row>
    <row r="30" spans="1:66">
      <c r="A30" s="646">
        <f t="shared" si="8"/>
        <v>43824</v>
      </c>
      <c r="B30" s="736">
        <f t="shared" si="5"/>
        <v>6.2541666666666664</v>
      </c>
      <c r="C30" s="736">
        <v>150.1</v>
      </c>
      <c r="D30" s="1391">
        <f t="shared" si="6"/>
        <v>466.09000000000066</v>
      </c>
      <c r="E30" s="1392">
        <f t="shared" si="0"/>
        <v>315.61000000000058</v>
      </c>
      <c r="F30" s="628">
        <v>261</v>
      </c>
      <c r="G30" s="1501">
        <f t="shared" si="1"/>
        <v>0</v>
      </c>
      <c r="H30" s="840">
        <v>90</v>
      </c>
      <c r="I30" s="846">
        <v>0</v>
      </c>
      <c r="J30" s="353">
        <v>0</v>
      </c>
      <c r="K30" s="642">
        <v>261</v>
      </c>
      <c r="L30" s="1395">
        <f t="shared" si="2"/>
        <v>90</v>
      </c>
      <c r="M30" s="1300">
        <v>171</v>
      </c>
      <c r="N30" s="1300"/>
      <c r="O30" s="1300">
        <v>0</v>
      </c>
      <c r="P30" s="1394">
        <f t="shared" si="3"/>
        <v>261</v>
      </c>
      <c r="Q30" s="816"/>
      <c r="R30" s="816"/>
      <c r="S30" s="816">
        <v>0</v>
      </c>
      <c r="T30" s="816"/>
      <c r="U30" s="816">
        <v>90</v>
      </c>
      <c r="V30" s="816">
        <v>0</v>
      </c>
      <c r="W30" s="816"/>
      <c r="X30" s="816"/>
      <c r="Y30" s="816"/>
      <c r="Z30" s="816">
        <v>171</v>
      </c>
      <c r="AA30" s="816"/>
      <c r="AB30" s="816"/>
      <c r="AC30" s="816"/>
      <c r="AD30" s="816"/>
      <c r="AE30" s="816"/>
      <c r="AF30" s="816">
        <v>0</v>
      </c>
      <c r="AG30" s="816"/>
      <c r="AH30" s="816"/>
      <c r="AI30" s="924"/>
      <c r="AJ30" s="818"/>
      <c r="AK30" s="1397">
        <f t="shared" si="7"/>
        <v>10228.9</v>
      </c>
      <c r="AL30" s="1398">
        <f t="shared" si="4"/>
        <v>687.48</v>
      </c>
      <c r="AM30" s="842"/>
      <c r="AN30" s="816">
        <v>15</v>
      </c>
      <c r="AO30" s="1128">
        <v>522</v>
      </c>
      <c r="AP30" s="814">
        <v>0</v>
      </c>
      <c r="AQ30" s="814">
        <v>0</v>
      </c>
      <c r="AR30" s="814">
        <v>2.8421709430404007E-14</v>
      </c>
      <c r="AS30" s="814"/>
      <c r="AT30" s="814"/>
      <c r="AU30" s="814"/>
      <c r="AV30" s="814"/>
      <c r="AW30" s="814"/>
      <c r="AX30" s="1139"/>
      <c r="AY30" s="815"/>
      <c r="AZ30" s="1140"/>
      <c r="BA30" s="1137"/>
      <c r="BB30" s="816"/>
      <c r="BC30" s="924"/>
      <c r="BD30" s="923"/>
      <c r="BE30" s="1386">
        <v>150.47999999999999</v>
      </c>
      <c r="BF30" s="847"/>
      <c r="BG30" s="847"/>
      <c r="BH30" s="847"/>
      <c r="BI30"/>
      <c r="BJ30" s="847"/>
      <c r="BK30" s="847"/>
      <c r="BL30" s="847"/>
      <c r="BN30" s="847"/>
    </row>
    <row r="31" spans="1:66" ht="14.25" customHeight="1">
      <c r="A31" s="646">
        <f t="shared" si="8"/>
        <v>43825</v>
      </c>
      <c r="B31" s="736">
        <f t="shared" si="5"/>
        <v>17.795833333333334</v>
      </c>
      <c r="C31" s="736">
        <v>427.1</v>
      </c>
      <c r="D31" s="1391">
        <f t="shared" si="6"/>
        <v>315.61000000000058</v>
      </c>
      <c r="E31" s="1392">
        <f>D31+K31-(F31+BE31+BD31)</f>
        <v>269.7800000000006</v>
      </c>
      <c r="F31" s="628">
        <v>241.2</v>
      </c>
      <c r="G31" s="1501">
        <f t="shared" si="1"/>
        <v>0</v>
      </c>
      <c r="H31" s="840">
        <v>229.82999999999998</v>
      </c>
      <c r="I31" s="846">
        <v>0</v>
      </c>
      <c r="J31" s="353">
        <v>0</v>
      </c>
      <c r="K31" s="642">
        <v>330.63</v>
      </c>
      <c r="L31" s="1395">
        <f t="shared" si="2"/>
        <v>229.82999999999998</v>
      </c>
      <c r="M31" s="1300">
        <v>100.8</v>
      </c>
      <c r="N31" s="1300"/>
      <c r="O31" s="1300">
        <v>0</v>
      </c>
      <c r="P31" s="1394">
        <f t="shared" si="3"/>
        <v>330.63</v>
      </c>
      <c r="Q31" s="816"/>
      <c r="R31" s="816"/>
      <c r="S31" s="816">
        <v>0</v>
      </c>
      <c r="T31" s="816"/>
      <c r="U31" s="816">
        <v>140.4</v>
      </c>
      <c r="V31" s="816">
        <v>0</v>
      </c>
      <c r="W31" s="816"/>
      <c r="X31" s="816"/>
      <c r="Y31" s="816"/>
      <c r="Z31" s="816">
        <v>100.8</v>
      </c>
      <c r="AA31" s="816"/>
      <c r="AB31" s="816"/>
      <c r="AC31" s="816"/>
      <c r="AD31" s="816"/>
      <c r="AE31" s="816"/>
      <c r="AF31" s="816">
        <v>0</v>
      </c>
      <c r="AG31" s="816"/>
      <c r="AH31" s="816"/>
      <c r="AI31" s="924">
        <v>89.43</v>
      </c>
      <c r="AJ31" s="818"/>
      <c r="AK31" s="1397">
        <f t="shared" si="7"/>
        <v>10559.529999999999</v>
      </c>
      <c r="AL31" s="1398">
        <f t="shared" si="4"/>
        <v>657.26</v>
      </c>
      <c r="AM31" s="842"/>
      <c r="AN31" s="1538"/>
      <c r="AO31" s="1128">
        <v>522</v>
      </c>
      <c r="AP31" s="814">
        <v>0</v>
      </c>
      <c r="AQ31" s="814">
        <v>0</v>
      </c>
      <c r="AR31" s="814">
        <v>0</v>
      </c>
      <c r="AS31" s="814"/>
      <c r="AT31" s="814"/>
      <c r="AU31" s="814"/>
      <c r="AV31" s="814"/>
      <c r="AW31" s="814"/>
      <c r="AX31" s="1139"/>
      <c r="AY31" s="815"/>
      <c r="AZ31" s="1140"/>
      <c r="BA31" s="1137"/>
      <c r="BB31" s="816"/>
      <c r="BC31" s="924"/>
      <c r="BD31" s="923"/>
      <c r="BE31" s="1386">
        <v>135.26</v>
      </c>
      <c r="BF31" s="847"/>
      <c r="BG31" s="847"/>
      <c r="BH31" s="847"/>
      <c r="BI31"/>
      <c r="BJ31" s="847"/>
      <c r="BK31" s="847"/>
      <c r="BL31" s="847"/>
      <c r="BN31" s="847"/>
    </row>
    <row r="32" spans="1:66">
      <c r="A32" s="646">
        <f t="shared" si="8"/>
        <v>43826</v>
      </c>
      <c r="B32" s="736">
        <f t="shared" si="5"/>
        <v>18.754166666666666</v>
      </c>
      <c r="C32" s="736">
        <v>450.1</v>
      </c>
      <c r="D32" s="1391">
        <f t="shared" si="6"/>
        <v>269.7800000000006</v>
      </c>
      <c r="E32" s="1392">
        <f t="shared" si="0"/>
        <v>403.25000000000057</v>
      </c>
      <c r="F32" s="628">
        <v>117</v>
      </c>
      <c r="G32" s="1501">
        <f t="shared" si="1"/>
        <v>0</v>
      </c>
      <c r="H32" s="840">
        <v>385.33</v>
      </c>
      <c r="I32" s="846">
        <v>0</v>
      </c>
      <c r="J32" s="353">
        <v>0</v>
      </c>
      <c r="K32" s="642">
        <v>385.33</v>
      </c>
      <c r="L32" s="1395">
        <f t="shared" si="2"/>
        <v>385.33</v>
      </c>
      <c r="M32" s="1300">
        <v>0</v>
      </c>
      <c r="N32" s="1300"/>
      <c r="O32" s="1300">
        <v>0</v>
      </c>
      <c r="P32" s="1394">
        <f t="shared" si="3"/>
        <v>385.33</v>
      </c>
      <c r="Q32" s="816"/>
      <c r="R32" s="816"/>
      <c r="S32" s="816">
        <v>0</v>
      </c>
      <c r="T32" s="816"/>
      <c r="U32" s="816">
        <v>117</v>
      </c>
      <c r="V32" s="816">
        <v>0</v>
      </c>
      <c r="W32" s="816"/>
      <c r="X32" s="816"/>
      <c r="Y32" s="816"/>
      <c r="Z32" s="816">
        <v>0</v>
      </c>
      <c r="AA32" s="816"/>
      <c r="AB32" s="816"/>
      <c r="AC32" s="816"/>
      <c r="AD32" s="816"/>
      <c r="AE32" s="816"/>
      <c r="AF32" s="816">
        <v>0</v>
      </c>
      <c r="AG32" s="816"/>
      <c r="AH32" s="816"/>
      <c r="AI32" s="924">
        <v>268.33</v>
      </c>
      <c r="AJ32" s="818"/>
      <c r="AK32" s="1397">
        <f t="shared" si="7"/>
        <v>10944.859999999999</v>
      </c>
      <c r="AL32" s="1398">
        <f t="shared" si="4"/>
        <v>656.86</v>
      </c>
      <c r="AM32" s="842"/>
      <c r="AN32" s="1538"/>
      <c r="AO32" s="1128"/>
      <c r="AP32" s="814">
        <v>0</v>
      </c>
      <c r="AQ32" s="814">
        <v>0</v>
      </c>
      <c r="AR32" s="814">
        <v>522</v>
      </c>
      <c r="AS32" s="814"/>
      <c r="AT32" s="814"/>
      <c r="AU32" s="814"/>
      <c r="AV32" s="814"/>
      <c r="AW32" s="814"/>
      <c r="AX32" s="1139"/>
      <c r="AY32" s="815"/>
      <c r="AZ32" s="1140"/>
      <c r="BA32" s="1137"/>
      <c r="BB32" s="816"/>
      <c r="BC32" s="924"/>
      <c r="BD32" s="923"/>
      <c r="BE32" s="1386">
        <v>134.86000000000001</v>
      </c>
      <c r="BF32" s="847"/>
      <c r="BG32" s="847"/>
      <c r="BH32" s="847"/>
      <c r="BI32"/>
      <c r="BJ32" s="847"/>
      <c r="BK32" s="847"/>
      <c r="BL32" s="847"/>
      <c r="BN32" s="847"/>
    </row>
    <row r="33" spans="1:66">
      <c r="A33" s="646">
        <f t="shared" si="8"/>
        <v>43827</v>
      </c>
      <c r="B33" s="736">
        <f t="shared" si="5"/>
        <v>19.012499999999999</v>
      </c>
      <c r="C33" s="736">
        <v>456.3</v>
      </c>
      <c r="D33" s="1391">
        <f t="shared" si="6"/>
        <v>403.25000000000057</v>
      </c>
      <c r="E33" s="1392">
        <f t="shared" si="0"/>
        <v>268.3300000000005</v>
      </c>
      <c r="F33" s="628">
        <v>506.7</v>
      </c>
      <c r="G33" s="1501">
        <f t="shared" si="1"/>
        <v>0</v>
      </c>
      <c r="H33" s="840">
        <v>484.2</v>
      </c>
      <c r="I33" s="846">
        <v>18</v>
      </c>
      <c r="J33" s="353">
        <v>0</v>
      </c>
      <c r="K33" s="642">
        <v>506.7</v>
      </c>
      <c r="L33" s="1395">
        <f t="shared" si="2"/>
        <v>502.2</v>
      </c>
      <c r="M33" s="1300">
        <v>0</v>
      </c>
      <c r="N33" s="1300"/>
      <c r="O33" s="1300">
        <v>4.5</v>
      </c>
      <c r="P33" s="1394">
        <f t="shared" si="3"/>
        <v>506.7</v>
      </c>
      <c r="Q33" s="816">
        <v>18</v>
      </c>
      <c r="R33" s="816"/>
      <c r="S33" s="816">
        <v>0</v>
      </c>
      <c r="T33" s="816"/>
      <c r="U33" s="816">
        <v>358.2</v>
      </c>
      <c r="V33" s="816">
        <v>126</v>
      </c>
      <c r="W33" s="816"/>
      <c r="X33" s="816"/>
      <c r="Y33" s="816"/>
      <c r="Z33" s="816">
        <v>0</v>
      </c>
      <c r="AA33" s="816"/>
      <c r="AB33" s="816"/>
      <c r="AC33" s="816"/>
      <c r="AD33" s="816"/>
      <c r="AE33" s="816"/>
      <c r="AF33" s="816">
        <v>4.5</v>
      </c>
      <c r="AG33" s="816"/>
      <c r="AH33" s="816"/>
      <c r="AI33" s="924"/>
      <c r="AJ33" s="818"/>
      <c r="AK33" s="1397">
        <f t="shared" si="7"/>
        <v>11451.56</v>
      </c>
      <c r="AL33" s="1398">
        <f t="shared" si="4"/>
        <v>134.91999999999999</v>
      </c>
      <c r="AM33" s="842"/>
      <c r="AN33" s="1538"/>
      <c r="AO33" s="1128"/>
      <c r="AP33" s="814">
        <v>0</v>
      </c>
      <c r="AQ33" s="814">
        <v>0</v>
      </c>
      <c r="AR33" s="814">
        <v>0</v>
      </c>
      <c r="AS33" s="814"/>
      <c r="AT33" s="814"/>
      <c r="AU33" s="814"/>
      <c r="AV33" s="814"/>
      <c r="AW33" s="814"/>
      <c r="AX33" s="1139"/>
      <c r="AY33" s="815"/>
      <c r="AZ33" s="1140"/>
      <c r="BA33" s="1137"/>
      <c r="BB33" s="816"/>
      <c r="BC33" s="924"/>
      <c r="BD33" s="923"/>
      <c r="BE33" s="1386">
        <v>134.91999999999999</v>
      </c>
      <c r="BF33" s="847"/>
      <c r="BG33" s="847"/>
      <c r="BH33" s="847"/>
      <c r="BI33"/>
      <c r="BJ33" s="847"/>
      <c r="BK33" s="847"/>
      <c r="BL33" s="847"/>
      <c r="BN33" s="847"/>
    </row>
    <row r="34" spans="1:66" s="295" customFormat="1">
      <c r="A34" s="646">
        <f t="shared" si="8"/>
        <v>43828</v>
      </c>
      <c r="B34" s="736">
        <f t="shared" si="5"/>
        <v>19.192916666666665</v>
      </c>
      <c r="C34" s="736">
        <v>460.63</v>
      </c>
      <c r="D34" s="1393">
        <f t="shared" ref="D34:D35" si="9">E33</f>
        <v>268.3300000000005</v>
      </c>
      <c r="E34" s="1392">
        <f t="shared" si="0"/>
        <v>728.96000000000049</v>
      </c>
      <c r="F34" s="628"/>
      <c r="G34" s="1501">
        <f t="shared" si="1"/>
        <v>0</v>
      </c>
      <c r="H34" s="840">
        <v>460.63</v>
      </c>
      <c r="I34" s="846">
        <v>0</v>
      </c>
      <c r="J34" s="353">
        <v>0</v>
      </c>
      <c r="K34" s="642">
        <v>460.63</v>
      </c>
      <c r="L34" s="1395">
        <f t="shared" si="2"/>
        <v>460.63</v>
      </c>
      <c r="M34" s="1300">
        <v>0</v>
      </c>
      <c r="N34" s="1300"/>
      <c r="O34" s="1300">
        <v>0</v>
      </c>
      <c r="P34" s="1394">
        <f t="shared" si="3"/>
        <v>0</v>
      </c>
      <c r="Q34" s="816"/>
      <c r="R34" s="816"/>
      <c r="S34" s="816">
        <v>0</v>
      </c>
      <c r="T34" s="816"/>
      <c r="U34" s="816"/>
      <c r="V34" s="816"/>
      <c r="W34" s="816"/>
      <c r="X34" s="816"/>
      <c r="Y34" s="816"/>
      <c r="Z34" s="816">
        <v>0</v>
      </c>
      <c r="AA34" s="816"/>
      <c r="AB34" s="816"/>
      <c r="AC34" s="816"/>
      <c r="AD34" s="816"/>
      <c r="AE34" s="816"/>
      <c r="AF34" s="816">
        <v>0</v>
      </c>
      <c r="AG34" s="816"/>
      <c r="AH34" s="816"/>
      <c r="AI34" s="924"/>
      <c r="AJ34" s="818"/>
      <c r="AK34" s="1399">
        <f t="shared" si="7"/>
        <v>11451.56</v>
      </c>
      <c r="AL34" s="1398">
        <f t="shared" si="4"/>
        <v>0</v>
      </c>
      <c r="AM34" s="843"/>
      <c r="AN34" s="1539"/>
      <c r="AO34" s="1129"/>
      <c r="AP34" s="814">
        <v>0</v>
      </c>
      <c r="AQ34" s="814">
        <v>0</v>
      </c>
      <c r="AR34" s="814">
        <v>0</v>
      </c>
      <c r="AS34" s="814"/>
      <c r="AT34" s="814"/>
      <c r="AU34" s="814"/>
      <c r="AV34" s="814"/>
      <c r="AW34" s="814"/>
      <c r="AX34" s="923"/>
      <c r="AY34" s="816"/>
      <c r="AZ34" s="818"/>
      <c r="BA34" s="1137"/>
      <c r="BB34" s="816"/>
      <c r="BC34" s="924"/>
      <c r="BD34" s="923"/>
      <c r="BE34" s="1386"/>
      <c r="BF34" s="847"/>
      <c r="BG34" s="847"/>
      <c r="BH34" s="847"/>
      <c r="BJ34" s="847"/>
      <c r="BK34" s="847"/>
      <c r="BL34" s="847"/>
      <c r="BN34" s="847"/>
    </row>
    <row r="35" spans="1:66" s="295" customFormat="1">
      <c r="A35" s="646">
        <f t="shared" si="8"/>
        <v>43829</v>
      </c>
      <c r="B35" s="736">
        <f t="shared" si="5"/>
        <v>19.653749999999999</v>
      </c>
      <c r="C35" s="736">
        <v>471.69</v>
      </c>
      <c r="D35" s="1393">
        <f t="shared" si="9"/>
        <v>728.96000000000049</v>
      </c>
      <c r="E35" s="1392">
        <f t="shared" si="0"/>
        <v>1067.3800000000006</v>
      </c>
      <c r="F35" s="628"/>
      <c r="G35" s="1550">
        <f t="shared" si="1"/>
        <v>0</v>
      </c>
      <c r="H35" s="1549">
        <v>471.69</v>
      </c>
      <c r="I35" s="846">
        <v>0</v>
      </c>
      <c r="J35" s="353">
        <v>0</v>
      </c>
      <c r="K35" s="642">
        <v>471.69</v>
      </c>
      <c r="L35" s="1395">
        <f t="shared" si="2"/>
        <v>471.69</v>
      </c>
      <c r="M35" s="1300">
        <v>0</v>
      </c>
      <c r="N35" s="1300"/>
      <c r="O35" s="1300">
        <v>0</v>
      </c>
      <c r="P35" s="1394">
        <f t="shared" si="3"/>
        <v>0</v>
      </c>
      <c r="Q35" s="816"/>
      <c r="R35" s="816"/>
      <c r="S35" s="816">
        <v>0</v>
      </c>
      <c r="T35" s="816"/>
      <c r="U35" s="816"/>
      <c r="V35" s="816"/>
      <c r="W35" s="816"/>
      <c r="X35" s="816"/>
      <c r="Y35" s="816"/>
      <c r="Z35" s="816">
        <v>0</v>
      </c>
      <c r="AA35" s="816"/>
      <c r="AB35" s="816"/>
      <c r="AC35" s="816"/>
      <c r="AD35" s="816"/>
      <c r="AE35" s="816"/>
      <c r="AF35" s="816">
        <v>0</v>
      </c>
      <c r="AG35" s="816"/>
      <c r="AH35" s="816"/>
      <c r="AI35" s="924"/>
      <c r="AJ35" s="818"/>
      <c r="AK35" s="1399">
        <f t="shared" si="7"/>
        <v>11451.56</v>
      </c>
      <c r="AL35" s="1398">
        <f t="shared" si="4"/>
        <v>637.27</v>
      </c>
      <c r="AM35" s="923"/>
      <c r="AN35" s="816"/>
      <c r="AO35" s="1130"/>
      <c r="AP35" s="924">
        <v>0</v>
      </c>
      <c r="AQ35" s="814">
        <v>504</v>
      </c>
      <c r="AR35" s="924">
        <v>-2.8421709430404007E-14</v>
      </c>
      <c r="AS35" s="814"/>
      <c r="AT35" s="814"/>
      <c r="AU35" s="924"/>
      <c r="AV35" s="814"/>
      <c r="AW35" s="924"/>
      <c r="AX35" s="923"/>
      <c r="AY35" s="816"/>
      <c r="AZ35" s="818"/>
      <c r="BA35" s="1137"/>
      <c r="BB35" s="816"/>
      <c r="BC35" s="924"/>
      <c r="BD35" s="923"/>
      <c r="BE35" s="1386">
        <v>133.27000000000001</v>
      </c>
      <c r="BF35" s="847"/>
      <c r="BG35" s="847"/>
      <c r="BH35" s="847"/>
      <c r="BJ35" s="847"/>
      <c r="BK35" s="847"/>
      <c r="BL35" s="847"/>
      <c r="BN35" s="847"/>
    </row>
    <row r="36" spans="1:66" s="706" customFormat="1" ht="15.75" outlineLevel="1" thickBot="1">
      <c r="A36" s="646">
        <f t="shared" si="8"/>
        <v>43830</v>
      </c>
      <c r="B36" s="736">
        <f t="shared" si="5"/>
        <v>11.136666666666665</v>
      </c>
      <c r="C36" s="736">
        <v>267.27999999999997</v>
      </c>
      <c r="D36" s="1393">
        <f t="shared" ref="D36" si="10">E35</f>
        <v>1067.3800000000006</v>
      </c>
      <c r="E36" s="1392">
        <f t="shared" si="0"/>
        <v>1199.6000000000006</v>
      </c>
      <c r="F36" s="1521"/>
      <c r="G36" s="1550">
        <f t="shared" si="1"/>
        <v>0</v>
      </c>
      <c r="H36" s="1522">
        <v>267.27999999999997</v>
      </c>
      <c r="I36" s="1551">
        <v>0</v>
      </c>
      <c r="J36" s="731"/>
      <c r="K36" s="1036">
        <v>267.27999999999997</v>
      </c>
      <c r="L36" s="1396">
        <f t="shared" si="2"/>
        <v>267.27999999999997</v>
      </c>
      <c r="M36" s="1301">
        <v>0</v>
      </c>
      <c r="N36" s="1302"/>
      <c r="O36" s="1302">
        <v>0</v>
      </c>
      <c r="P36" s="1394">
        <f>SUM(Q36:AI36)</f>
        <v>0</v>
      </c>
      <c r="Q36" s="821"/>
      <c r="R36" s="821"/>
      <c r="S36" s="821">
        <v>0</v>
      </c>
      <c r="T36" s="821"/>
      <c r="U36" s="821"/>
      <c r="V36" s="821"/>
      <c r="W36" s="821"/>
      <c r="X36" s="821"/>
      <c r="Y36" s="821"/>
      <c r="Z36" s="821">
        <v>0</v>
      </c>
      <c r="AA36" s="821"/>
      <c r="AB36" s="821"/>
      <c r="AC36" s="821"/>
      <c r="AD36" s="821"/>
      <c r="AE36" s="821"/>
      <c r="AF36" s="821">
        <v>0</v>
      </c>
      <c r="AG36" s="821"/>
      <c r="AH36" s="1525"/>
      <c r="AI36" s="822"/>
      <c r="AJ36" s="818"/>
      <c r="AK36" s="1399">
        <f t="shared" si="7"/>
        <v>11451.56</v>
      </c>
      <c r="AL36" s="1398">
        <f t="shared" si="4"/>
        <v>135.06</v>
      </c>
      <c r="AM36" s="820"/>
      <c r="AN36" s="819"/>
      <c r="AO36" s="1537"/>
      <c r="AP36" s="820">
        <v>0</v>
      </c>
      <c r="AQ36" s="820">
        <v>0</v>
      </c>
      <c r="AR36" s="820">
        <v>0</v>
      </c>
      <c r="AS36" s="820"/>
      <c r="AT36" s="820"/>
      <c r="AU36" s="820"/>
      <c r="AV36" s="1141"/>
      <c r="AW36" s="819"/>
      <c r="AX36" s="841"/>
      <c r="AY36" s="1138"/>
      <c r="AZ36" s="819"/>
      <c r="BA36" s="820"/>
      <c r="BB36" s="1141"/>
      <c r="BC36" s="1387"/>
      <c r="BD36" s="923"/>
      <c r="BE36" s="1386">
        <v>135.06</v>
      </c>
      <c r="BF36" s="847"/>
      <c r="BH36" s="847"/>
      <c r="BI36" s="847"/>
      <c r="BJ36" s="847"/>
      <c r="BL36" s="847"/>
    </row>
    <row r="37" spans="1:66" ht="15.75" thickBot="1">
      <c r="B37" s="499" t="s">
        <v>139</v>
      </c>
      <c r="C37" s="499">
        <f>IF(DAY($A$36)=31,SUM(C6:C36),IF(DAY($A$36)=1, SUM(C6:C35),IF(DAY($A$36)=2,SUM(C6:C34),SUM(C6:C33))))</f>
        <v>12759.668685820072</v>
      </c>
      <c r="E37" s="153">
        <f>E35</f>
        <v>1067.3800000000006</v>
      </c>
      <c r="F37" s="153">
        <f>IF(DAY($A$36)=31,SUM(F6:F36),IF(DAY($A$36)=1, SUM(F6:F35),IF(DAY($A$36)=2,SUM(F6:F34),SUM(F6:F33))))</f>
        <v>9422.8000000000011</v>
      </c>
      <c r="G37" s="153">
        <f t="shared" ref="G37" si="11">IF(DAY($A$36)=31,SUM(G6:G36),IF(DAY($A$36)=1, SUM(G6:G35),IF(DAY($A$36)=2,SUM(G6:G34),SUM(G6:G33))))</f>
        <v>35.25</v>
      </c>
      <c r="H37" s="201">
        <f>IF(DAY($A$36)=31,SUM(H6:H36),IF(DAY($A$36)=1, SUM(H6:H35),IF(DAY($A$36)=2,SUM(H6:H34),SUM(H6:H33))))</f>
        <v>9362.76</v>
      </c>
      <c r="I37" s="201">
        <f t="shared" ref="I37" si="12">IF(DAY($A$36)=31,SUM(I6:I36),IF(DAY($A$36)=1, SUM(I6:I35),IF(DAY($A$36)=2,SUM(I6:I34),SUM(I6:I33))))</f>
        <v>2892.3999999999996</v>
      </c>
      <c r="J37" s="201">
        <f t="shared" ref="J37" si="13">IF(DAY($A$36)=31,SUM(J6:J36),IF(DAY($A$36)=1, SUM(J6:J35),IF(DAY($A$36)=2,SUM(J6:J34),SUM(J6:J33))))</f>
        <v>0</v>
      </c>
      <c r="K37" s="523">
        <f>IF(DAY($A$36)=31,SUM(K6:K36),IF(DAY($A$36)=1, SUM(K6:K35),IF(DAY($A$36)=2,SUM(K6:K34),SUM(K6:K33))))</f>
        <v>12651.16</v>
      </c>
      <c r="L37" s="262">
        <f>IF(DAY($A$36)=31,SUM(L6:L36),IF(DAY($A$36)=1, SUM(L6:L35),IF(DAY($A$36)=2,SUM(L6:L34),SUM(L6:L33))))</f>
        <v>12255.16</v>
      </c>
      <c r="M37" s="262">
        <f>IF(DAY($A$36)=31,SUM(M6:M36),IF(DAY($A$36)=1, SUM(M6:M35),IF(DAY($A$36)=2,SUM(M6:M34),SUM(M6:M33))))</f>
        <v>338.4</v>
      </c>
      <c r="N37" s="487">
        <f t="shared" ref="N37" si="14">IF(DAY($A$36)=31,SUM(N6:N36),IF(DAY($A$36)=1, SUM(N6:N35),IF(DAY($A$36)=2,SUM(N6:N34),SUM(N6:N33))))</f>
        <v>0</v>
      </c>
      <c r="O37" s="262">
        <f>SUM(O6:O36)</f>
        <v>57.599999999999994</v>
      </c>
      <c r="P37" s="522">
        <f>IF(DAY($A$36)=31,SUM(P6:P36),IF(DAY($A$36)=1, SUM(P6:P35),IF(DAY($A$36)=2,SUM(P6:P34),SUM(P6:P33))))</f>
        <v>11451.56</v>
      </c>
      <c r="Q37" s="773">
        <f>IF(DAY($A$36)=31,SUM(Q6:Q36),IF(DAY($A$36)=1, SUM(Q6:Q35),IF(DAY($A$36)=2,SUM(Q6:Q34),SUM(Q6:Q33))))</f>
        <v>18</v>
      </c>
      <c r="R37" s="773">
        <f t="shared" ref="R37:AJ37" si="15">IF(DAY($A$36)=31,SUM(R6:R36),IF(DAY($A$36)=1, SUM(R6:R35),IF(DAY($A$36)=2,SUM(R6:R34),SUM(R6:R33))))</f>
        <v>2718</v>
      </c>
      <c r="S37" s="773">
        <f t="shared" si="15"/>
        <v>8</v>
      </c>
      <c r="T37" s="773">
        <f t="shared" si="15"/>
        <v>148.4</v>
      </c>
      <c r="U37" s="773">
        <f t="shared" si="15"/>
        <v>1335.6</v>
      </c>
      <c r="V37" s="773">
        <f t="shared" si="15"/>
        <v>4798.7999999999993</v>
      </c>
      <c r="W37" s="773">
        <f t="shared" si="15"/>
        <v>0</v>
      </c>
      <c r="X37" s="773">
        <f t="shared" si="15"/>
        <v>0</v>
      </c>
      <c r="Y37" s="773">
        <f t="shared" si="15"/>
        <v>0</v>
      </c>
      <c r="Z37" s="773">
        <f t="shared" si="15"/>
        <v>338.4</v>
      </c>
      <c r="AA37" s="773">
        <f t="shared" si="15"/>
        <v>0</v>
      </c>
      <c r="AB37" s="773">
        <f t="shared" si="15"/>
        <v>0</v>
      </c>
      <c r="AC37" s="773">
        <f t="shared" si="15"/>
        <v>0</v>
      </c>
      <c r="AD37" s="773">
        <f t="shared" si="15"/>
        <v>0</v>
      </c>
      <c r="AE37" s="773">
        <f t="shared" si="15"/>
        <v>0</v>
      </c>
      <c r="AF37" s="773">
        <f t="shared" si="15"/>
        <v>57.599999999999994</v>
      </c>
      <c r="AG37" s="773">
        <f t="shared" si="15"/>
        <v>0</v>
      </c>
      <c r="AH37" s="773">
        <f t="shared" si="15"/>
        <v>35.25</v>
      </c>
      <c r="AI37" s="773">
        <f t="shared" si="15"/>
        <v>1993.51</v>
      </c>
      <c r="AJ37" s="773">
        <f t="shared" si="15"/>
        <v>0</v>
      </c>
      <c r="AK37" s="488">
        <f>IF(DAY($A$36)=31,AK36,IF(DAY($A$36)=1, AK35,IF(DAY($A$36)=2,AK34,AK33)))</f>
        <v>11451.56</v>
      </c>
      <c r="AL37" s="483">
        <f>SUM(AL5:AL36)</f>
        <v>14914.869999999999</v>
      </c>
      <c r="AM37" s="773">
        <f t="shared" ref="AM37" si="16">IF(DAY($A$36)=31,SUM(AM6:AM36),IF(DAY($A$36)=1, SUM(AM6:AM35),IF(DAY($A$36)=2,SUM(AM6:AM34),SUM(AM6:AM33))))</f>
        <v>0</v>
      </c>
      <c r="AN37" s="773">
        <f t="shared" ref="AN37" si="17">IF(DAY($A$36)=31,SUM(AN6:AN36),IF(DAY($A$36)=1, SUM(AN6:AN35),IF(DAY($A$36)=2,SUM(AN6:AN34),SUM(AN6:AN33))))</f>
        <v>150</v>
      </c>
      <c r="AO37" s="773">
        <f t="shared" ref="AO37" si="18">IF(DAY($A$36)=31,SUM(AO6:AO36),IF(DAY($A$36)=1, SUM(AO6:AO35),IF(DAY($A$36)=2,SUM(AO6:AO34),SUM(AO6:AO33))))</f>
        <v>2718</v>
      </c>
      <c r="AP37" s="773">
        <f t="shared" ref="AP37" si="19">IF(DAY($A$36)=31,SUM(AP6:AP36),IF(DAY($A$36)=1, SUM(AP6:AP35),IF(DAY($A$36)=2,SUM(AP6:AP34),SUM(AP6:AP33))))</f>
        <v>8</v>
      </c>
      <c r="AQ37" s="773">
        <f t="shared" ref="AQ37" si="20">IF(DAY($A$36)=31,SUM(AQ6:AQ36),IF(DAY($A$36)=1, SUM(AQ6:AQ35),IF(DAY($A$36)=2,SUM(AQ6:AQ34),SUM(AQ6:AQ33))))</f>
        <v>1620</v>
      </c>
      <c r="AR37" s="773">
        <f t="shared" ref="AR37" si="21">IF(DAY($A$36)=31,SUM(AR6:AR36),IF(DAY($A$36)=1, SUM(AR6:AR35),IF(DAY($A$36)=2,SUM(AR6:AR34),SUM(AR6:AR33))))</f>
        <v>7758</v>
      </c>
      <c r="AS37" s="773">
        <f t="shared" ref="AS37" si="22">IF(DAY($A$36)=31,SUM(AS6:AS36),IF(DAY($A$36)=1, SUM(AS6:AS35),IF(DAY($A$36)=2,SUM(AS6:AS34),SUM(AS6:AS33))))</f>
        <v>0</v>
      </c>
      <c r="AT37" s="773">
        <f t="shared" ref="AT37" si="23">IF(DAY($A$36)=31,SUM(AT6:AT36),IF(DAY($A$36)=1, SUM(AT6:AT35),IF(DAY($A$36)=2,SUM(AT6:AT34),SUM(AT6:AT33))))</f>
        <v>0</v>
      </c>
      <c r="AU37" s="773">
        <f t="shared" ref="AU37" si="24">IF(DAY($A$36)=31,SUM(AU6:AU36),IF(DAY($A$36)=1, SUM(AU6:AU35),IF(DAY($A$36)=2,SUM(AU6:AU34),SUM(AU6:AU33))))</f>
        <v>0</v>
      </c>
      <c r="AV37" s="773">
        <f t="shared" ref="AV37" si="25">IF(DAY($A$36)=31,SUM(AV6:AV36),IF(DAY($A$36)=1, SUM(AV6:AV35),IF(DAY($A$36)=2,SUM(AV6:AV34),SUM(AV6:AV33))))</f>
        <v>0</v>
      </c>
      <c r="AW37" s="773">
        <f t="shared" ref="AW37" si="26">IF(DAY($A$36)=31,SUM(AW6:AW36),IF(DAY($A$36)=1, SUM(AW6:AW35),IF(DAY($A$36)=2,SUM(AW6:AW34),SUM(AW6:AW33))))</f>
        <v>0</v>
      </c>
      <c r="AX37" s="773">
        <f t="shared" ref="AX37" si="27">IF(DAY($A$36)=31,SUM(AX6:AX36),IF(DAY($A$36)=1, SUM(AX6:AX35),IF(DAY($A$36)=2,SUM(AX6:AX34),SUM(AX6:AX33))))</f>
        <v>0</v>
      </c>
      <c r="AY37" s="773">
        <f t="shared" ref="AY37" si="28">IF(DAY($A$36)=31,SUM(AY6:AY36),IF(DAY($A$36)=1, SUM(AY6:AY35),IF(DAY($A$36)=2,SUM(AY6:AY34),SUM(AY6:AY33))))</f>
        <v>0</v>
      </c>
      <c r="AZ37" s="773">
        <f t="shared" ref="AZ37" si="29">IF(DAY($A$36)=31,SUM(AZ6:AZ36),IF(DAY($A$36)=1, SUM(AZ6:AZ35),IF(DAY($A$36)=2,SUM(AZ6:AZ34),SUM(AZ6:AZ33))))</f>
        <v>0</v>
      </c>
      <c r="BA37" s="773">
        <f t="shared" ref="BA37" si="30">IF(DAY($A$36)=31,SUM(BA6:BA36),IF(DAY($A$36)=1, SUM(BA6:BA35),IF(DAY($A$36)=2,SUM(BA6:BA34),SUM(BA6:BA33))))</f>
        <v>0</v>
      </c>
      <c r="BB37" s="773">
        <f t="shared" ref="BB37" si="31">IF(DAY($A$36)=31,SUM(BB6:BB36),IF(DAY($A$36)=1, SUM(BB6:BB35),IF(DAY($A$36)=2,SUM(BB6:BB34),SUM(BB6:BB33))))</f>
        <v>0</v>
      </c>
      <c r="BC37" s="773">
        <f t="shared" ref="BC37" si="32">IF(DAY($A$36)=31,SUM(BC6:BC36),IF(DAY($A$36)=1, SUM(BC6:BC35),IF(DAY($A$36)=2,SUM(BC6:BC34),SUM(BC6:BC33))))</f>
        <v>0</v>
      </c>
      <c r="BD37" s="773">
        <f t="shared" ref="BD37" si="33">IF(DAY($A$36)=31,SUM(BD6:BD36),IF(DAY($A$36)=1, SUM(BD6:BD35),IF(DAY($A$36)=2,SUM(BD6:BD34),SUM(BD6:BD33))))</f>
        <v>667.36</v>
      </c>
      <c r="BE37" s="773">
        <f t="shared" ref="BE37" si="34">IF(DAY($A$36)=31,SUM(BE6:BE36),IF(DAY($A$36)=1, SUM(BE6:BE35),IF(DAY($A$36)=2,SUM(BE6:BE34),SUM(BE6:BE33))))</f>
        <v>1993.5099999999998</v>
      </c>
      <c r="BF37" s="1171"/>
      <c r="BG37" s="1172"/>
      <c r="BH37" s="1171"/>
      <c r="BI37" s="1171"/>
      <c r="BJ37" s="1171"/>
      <c r="BK37"/>
      <c r="BL37"/>
    </row>
    <row r="38" spans="1:66" ht="15.75" thickTop="1">
      <c r="F38" s="1390"/>
      <c r="I38" s="195"/>
      <c r="J38" s="195"/>
      <c r="K38" s="195"/>
      <c r="L38" s="391"/>
      <c r="M38" s="196"/>
      <c r="N38" s="196"/>
      <c r="O38" s="196"/>
      <c r="P38" s="196"/>
      <c r="Q38" s="196"/>
      <c r="R38" s="196"/>
      <c r="S38" s="196"/>
      <c r="T38" s="196"/>
      <c r="U38" s="196"/>
      <c r="V38" s="196"/>
      <c r="W38" s="196"/>
      <c r="X38" s="196"/>
      <c r="Y38" s="196"/>
      <c r="Z38" s="196"/>
      <c r="AA38" s="196"/>
      <c r="AB38" s="629"/>
      <c r="AJ38" s="197"/>
      <c r="AK38" s="159"/>
      <c r="AL38" s="159"/>
      <c r="AM38" s="159"/>
      <c r="AN38" s="159"/>
      <c r="AO38" s="159"/>
      <c r="AP38" s="159"/>
      <c r="AQ38" s="159"/>
      <c r="AR38" s="159"/>
      <c r="AS38" s="159"/>
      <c r="AT38" s="159"/>
      <c r="AU38" s="159"/>
      <c r="AV38" s="159"/>
      <c r="AW38" s="159"/>
      <c r="AX38" s="159"/>
      <c r="AY38" s="159"/>
      <c r="AZ38" s="159"/>
      <c r="BA38"/>
      <c r="BB38"/>
      <c r="BC38"/>
      <c r="BD38"/>
      <c r="BE38"/>
      <c r="BF38"/>
      <c r="BG38"/>
      <c r="BH38"/>
      <c r="BI38"/>
      <c r="BJ38"/>
      <c r="BK38"/>
      <c r="BL38"/>
    </row>
    <row r="39" spans="1:66">
      <c r="M39" s="203"/>
      <c r="Z39" s="153"/>
      <c r="AA39" s="153"/>
      <c r="AC39" s="195"/>
      <c r="AD39" s="195"/>
      <c r="BA39" s="159"/>
      <c r="BB39" s="159"/>
      <c r="BC39" s="159"/>
      <c r="BD39" s="159"/>
      <c r="BE39" s="159"/>
      <c r="BF39" s="159"/>
      <c r="BG39" s="159"/>
      <c r="BH39" s="159"/>
      <c r="BI39" s="205"/>
      <c r="BJ39" s="205"/>
      <c r="BK39" s="318"/>
      <c r="BL39" s="159"/>
      <c r="BM39" s="159"/>
      <c r="BN39" s="208"/>
    </row>
    <row r="40" spans="1:66">
      <c r="L40" s="189"/>
      <c r="M40" s="209"/>
      <c r="O40" s="202"/>
      <c r="Z40" s="153"/>
      <c r="AA40" s="153"/>
      <c r="AB40" s="708"/>
      <c r="AC40" s="195"/>
      <c r="AD40" s="195"/>
      <c r="BA40" s="205"/>
      <c r="BB40" s="205"/>
      <c r="BC40" s="205"/>
      <c r="BD40" s="205"/>
      <c r="BE40" s="205"/>
      <c r="BF40" s="205"/>
      <c r="BG40" s="205"/>
      <c r="BH40" s="205"/>
      <c r="BI40" s="205"/>
      <c r="BJ40" s="205"/>
      <c r="BK40" s="205"/>
      <c r="BL40" s="159"/>
      <c r="BM40" s="159"/>
    </row>
    <row r="41" spans="1:66" ht="15.75" thickBot="1">
      <c r="C41" s="210"/>
      <c r="D41" s="202" t="s">
        <v>140</v>
      </c>
      <c r="E41" s="203" t="s">
        <v>201</v>
      </c>
      <c r="F41" s="289">
        <f>A5</f>
        <v>43799</v>
      </c>
      <c r="G41" s="289"/>
      <c r="H41" s="290" t="s">
        <v>200</v>
      </c>
      <c r="I41" s="289">
        <f>A25</f>
        <v>43819</v>
      </c>
      <c r="J41" s="204">
        <f>E5</f>
        <v>632.11000000000024</v>
      </c>
      <c r="M41" s="203" t="s">
        <v>197</v>
      </c>
      <c r="N41" s="236">
        <f>J44-J43</f>
        <v>108.50868582007206</v>
      </c>
      <c r="O41" s="195" t="s">
        <v>202</v>
      </c>
      <c r="Z41" s="153"/>
      <c r="AA41" s="153"/>
      <c r="AC41" s="195"/>
      <c r="AD41" s="195"/>
      <c r="AU41" s="205"/>
      <c r="AV41" s="205"/>
      <c r="AW41" s="198"/>
      <c r="AX41" s="198"/>
      <c r="AY41" s="198"/>
      <c r="AZ41" s="198"/>
      <c r="BE41" s="205"/>
      <c r="BF41" s="159"/>
      <c r="BG41" s="159"/>
      <c r="BH41" s="153"/>
      <c r="BI41"/>
      <c r="BJ41"/>
      <c r="BK41"/>
      <c r="BL41"/>
    </row>
    <row r="42" spans="1:66" ht="15.75" thickTop="1">
      <c r="D42" s="202" t="s">
        <v>141</v>
      </c>
      <c r="E42" s="206" t="s">
        <v>388</v>
      </c>
      <c r="F42" s="207"/>
      <c r="G42" s="207"/>
      <c r="H42" s="400">
        <f>I41</f>
        <v>43819</v>
      </c>
      <c r="I42" s="400" t="s">
        <v>379</v>
      </c>
      <c r="J42" s="206">
        <f>P37</f>
        <v>11451.56</v>
      </c>
      <c r="M42" s="203"/>
      <c r="N42" s="153">
        <f>N41/J44%</f>
        <v>0.8504036310963049</v>
      </c>
      <c r="O42" s="195" t="s">
        <v>104</v>
      </c>
      <c r="R42" s="189"/>
      <c r="Z42" s="153"/>
      <c r="AA42" s="153"/>
      <c r="AC42" s="195"/>
      <c r="AD42" s="195"/>
      <c r="AE42" s="211"/>
      <c r="AF42" s="211"/>
      <c r="AG42" s="211"/>
      <c r="AH42" s="211"/>
      <c r="AI42" s="211"/>
      <c r="AJ42" s="211"/>
      <c r="AM42" s="211"/>
      <c r="AN42" s="211"/>
      <c r="AO42" s="211"/>
      <c r="AP42" s="211"/>
      <c r="AQ42" s="211"/>
      <c r="AR42" s="211"/>
      <c r="AS42" s="211"/>
      <c r="AT42" s="211"/>
      <c r="AU42" s="205"/>
      <c r="AV42" s="205"/>
      <c r="AW42" s="205"/>
      <c r="AX42" s="205"/>
      <c r="AY42" s="205"/>
      <c r="AZ42" s="205"/>
      <c r="BA42" s="205"/>
      <c r="BB42" s="205"/>
      <c r="BC42" s="205"/>
      <c r="BD42" s="205"/>
      <c r="BE42" s="205"/>
      <c r="BF42" s="159"/>
      <c r="BG42" s="159"/>
      <c r="BH42" s="153"/>
      <c r="BI42"/>
      <c r="BJ42"/>
      <c r="BK42"/>
      <c r="BL42"/>
    </row>
    <row r="43" spans="1:66">
      <c r="D43" s="202" t="s">
        <v>142</v>
      </c>
      <c r="E43" s="206" t="s">
        <v>315</v>
      </c>
      <c r="F43" s="484" t="s">
        <v>378</v>
      </c>
      <c r="G43" s="484"/>
      <c r="H43" s="207"/>
      <c r="I43" s="207"/>
      <c r="J43" s="206">
        <f>SUM(L37:O37)</f>
        <v>12651.16</v>
      </c>
      <c r="M43" s="203"/>
      <c r="N43" s="1299">
        <f>100-N42</f>
        <v>99.149596368903701</v>
      </c>
      <c r="O43" s="203"/>
      <c r="R43" s="189"/>
      <c r="AC43" s="195"/>
      <c r="AD43" s="195"/>
      <c r="AE43" s="211"/>
      <c r="AF43" s="211"/>
      <c r="AG43" s="211"/>
      <c r="AH43" s="211"/>
      <c r="AI43" s="211"/>
      <c r="AJ43" s="211"/>
      <c r="AM43" s="211"/>
      <c r="AN43" s="211"/>
      <c r="AO43" s="211"/>
      <c r="AP43" s="211"/>
      <c r="AQ43" s="211"/>
      <c r="AR43" s="211"/>
      <c r="AS43" s="211"/>
      <c r="AT43" s="211"/>
      <c r="AU43" s="205"/>
      <c r="AV43" s="205"/>
      <c r="AW43" s="205"/>
      <c r="AX43" s="205"/>
      <c r="AY43" s="205"/>
      <c r="AZ43" s="205"/>
      <c r="BA43" s="205"/>
      <c r="BB43" s="205"/>
      <c r="BC43" s="205"/>
      <c r="BD43" s="205"/>
      <c r="BE43" s="205"/>
      <c r="BF43" s="159"/>
      <c r="BG43" s="159"/>
      <c r="BH43" s="153"/>
      <c r="BI43"/>
      <c r="BJ43"/>
      <c r="BK43"/>
      <c r="BL43"/>
    </row>
    <row r="44" spans="1:66">
      <c r="D44" s="202" t="s">
        <v>143</v>
      </c>
      <c r="E44" s="206" t="s">
        <v>144</v>
      </c>
      <c r="F44" s="207"/>
      <c r="G44" s="207"/>
      <c r="H44" s="484"/>
      <c r="I44" s="207"/>
      <c r="J44" s="206">
        <f>C37</f>
        <v>12759.668685820072</v>
      </c>
      <c r="M44" s="203"/>
      <c r="N44" s="203"/>
      <c r="O44" s="203"/>
      <c r="P44" s="203"/>
      <c r="R44" s="203"/>
      <c r="Z44" s="153"/>
      <c r="AA44" s="153"/>
      <c r="AC44" s="195"/>
      <c r="AD44" s="195"/>
      <c r="AU44" s="205"/>
      <c r="AV44" s="205"/>
      <c r="AW44" s="205"/>
      <c r="AX44" s="205"/>
      <c r="AY44" s="205"/>
      <c r="AZ44" s="205"/>
      <c r="BA44" s="205"/>
      <c r="BB44" s="205"/>
      <c r="BC44" s="205"/>
      <c r="BD44" s="205"/>
      <c r="BE44" s="205"/>
      <c r="BF44" s="159"/>
      <c r="BG44" s="159"/>
      <c r="BH44"/>
      <c r="BI44"/>
      <c r="BJ44"/>
      <c r="BK44"/>
      <c r="BL44"/>
    </row>
    <row r="45" spans="1:66">
      <c r="D45" s="202"/>
      <c r="E45" s="203"/>
      <c r="H45" s="289"/>
      <c r="I45" s="203"/>
      <c r="M45" s="203"/>
      <c r="N45" s="203"/>
      <c r="O45" s="203"/>
      <c r="P45" s="203"/>
      <c r="R45" s="203"/>
      <c r="Z45" s="153"/>
      <c r="AA45" s="153"/>
      <c r="AC45" s="195"/>
      <c r="AD45" s="195"/>
      <c r="AU45" s="205"/>
      <c r="AV45" s="205"/>
      <c r="AW45" s="205"/>
      <c r="AX45" s="205"/>
      <c r="AY45" s="205"/>
      <c r="AZ45" s="205"/>
      <c r="BA45" s="205"/>
      <c r="BB45" s="205"/>
      <c r="BC45" s="205"/>
      <c r="BD45" s="205"/>
      <c r="BE45" s="205"/>
      <c r="BF45" s="159"/>
      <c r="BG45" s="159"/>
      <c r="BH45"/>
      <c r="BI45"/>
      <c r="BJ45"/>
      <c r="BK45"/>
      <c r="BL45"/>
    </row>
    <row r="46" spans="1:66">
      <c r="D46" s="202" t="s">
        <v>380</v>
      </c>
      <c r="E46" s="203" t="s">
        <v>201</v>
      </c>
      <c r="F46" s="289">
        <f>A10</f>
        <v>43804</v>
      </c>
      <c r="G46" s="289"/>
      <c r="H46" s="290" t="s">
        <v>200</v>
      </c>
      <c r="I46" s="289">
        <f>F46+31</f>
        <v>43835</v>
      </c>
      <c r="J46" s="754">
        <f>IF(DAY($A$36)=31,E36,IF(DAY($A$36)=1, E35,IF(DAY($A$36)=2,E34,E33)))</f>
        <v>1199.6000000000006</v>
      </c>
      <c r="M46" s="203"/>
      <c r="N46" s="203"/>
      <c r="O46" s="525"/>
      <c r="P46" s="203"/>
      <c r="R46" s="203"/>
      <c r="Z46" s="153"/>
      <c r="AA46" s="153"/>
      <c r="AC46" s="195"/>
      <c r="AD46" s="195"/>
      <c r="AU46" s="198"/>
      <c r="AV46" s="198"/>
      <c r="AW46" s="198"/>
      <c r="AX46" s="198"/>
      <c r="AY46" s="198"/>
      <c r="AZ46" s="198"/>
      <c r="BF46" s="153"/>
      <c r="BG46" s="153"/>
      <c r="BH46"/>
      <c r="BI46"/>
      <c r="BJ46"/>
      <c r="BK46"/>
      <c r="BL46"/>
    </row>
    <row r="47" spans="1:66" ht="17.25">
      <c r="D47" s="485" t="s">
        <v>383</v>
      </c>
      <c r="E47" s="380" t="s">
        <v>381</v>
      </c>
      <c r="F47" s="486"/>
      <c r="G47" s="486"/>
      <c r="H47" s="486"/>
      <c r="I47" s="486"/>
      <c r="J47" s="1193">
        <f>J43-SUM('BPA WH&lt;1&gt;'!DJ37,'BPA WH&lt;1&gt;'!DX37,'BPA WH&lt;1&gt;'!EE37,'BPA WH&lt;1&gt;'!ES37,'BPA WH&lt;1&gt;'!CU37)</f>
        <v>12651.16</v>
      </c>
      <c r="L47" s="203" t="s">
        <v>636</v>
      </c>
      <c r="M47" s="1552">
        <f>(J43-'Monthly Report '!K9)/J44</f>
        <v>0.99149596368903692</v>
      </c>
      <c r="N47" s="203"/>
      <c r="O47" s="525"/>
      <c r="P47" s="203"/>
      <c r="R47" s="203"/>
      <c r="Z47" s="153"/>
      <c r="AA47" s="153"/>
      <c r="AC47" s="195"/>
      <c r="AD47" s="195"/>
      <c r="AM47" s="269"/>
      <c r="AN47" s="269"/>
      <c r="AO47" s="269"/>
      <c r="AP47" s="269"/>
      <c r="AQ47" s="269"/>
      <c r="AR47" s="269"/>
      <c r="AS47" s="269"/>
      <c r="AT47" s="269"/>
      <c r="AU47" s="198"/>
      <c r="AV47" s="198"/>
      <c r="AW47" s="198"/>
      <c r="AX47" s="198"/>
      <c r="AY47" s="198"/>
      <c r="AZ47" s="198"/>
      <c r="BF47" s="153"/>
      <c r="BG47" s="153"/>
      <c r="BH47"/>
      <c r="BI47"/>
      <c r="BJ47"/>
      <c r="BK47"/>
      <c r="BL47"/>
    </row>
    <row r="48" spans="1:66">
      <c r="D48" s="202"/>
      <c r="L48" s="203"/>
      <c r="M48" s="203"/>
      <c r="N48" s="203"/>
      <c r="O48" s="525"/>
      <c r="P48" s="203"/>
      <c r="R48" s="203"/>
      <c r="Z48" s="153"/>
      <c r="AA48" s="153"/>
      <c r="AC48" s="195"/>
      <c r="AD48" s="195"/>
      <c r="AU48" s="198"/>
      <c r="AV48" s="198"/>
      <c r="AW48" s="198"/>
      <c r="AX48" s="198"/>
      <c r="AY48" s="198"/>
      <c r="AZ48" s="198"/>
      <c r="BF48" s="153"/>
      <c r="BG48" s="153"/>
      <c r="BH48"/>
      <c r="BI48"/>
      <c r="BJ48"/>
      <c r="BK48"/>
      <c r="BL48"/>
    </row>
    <row r="49" spans="1:64">
      <c r="E49" s="203"/>
      <c r="H49" s="212"/>
      <c r="J49" s="212"/>
      <c r="M49" s="203"/>
      <c r="N49" s="203"/>
      <c r="O49" s="203"/>
      <c r="P49" s="203"/>
      <c r="R49" s="203"/>
      <c r="Z49" s="153"/>
      <c r="AA49" s="153"/>
      <c r="AC49" s="195"/>
      <c r="AD49" s="195"/>
      <c r="AU49" s="198"/>
      <c r="AV49" s="198"/>
      <c r="AW49" s="198"/>
      <c r="AX49" s="198"/>
      <c r="AY49" s="198"/>
      <c r="AZ49" s="198"/>
      <c r="BF49" s="153"/>
      <c r="BG49" s="153"/>
      <c r="BH49"/>
      <c r="BI49"/>
      <c r="BJ49"/>
      <c r="BK49"/>
      <c r="BL49"/>
    </row>
    <row r="50" spans="1:64">
      <c r="E50" s="212" t="s">
        <v>145</v>
      </c>
      <c r="H50" s="401" t="s">
        <v>121</v>
      </c>
      <c r="J50" s="153">
        <f>D6</f>
        <v>632.11000000000024</v>
      </c>
      <c r="M50" s="203"/>
      <c r="N50" s="203"/>
      <c r="O50" s="203"/>
      <c r="P50" s="203"/>
      <c r="R50" s="203"/>
      <c r="Z50" s="153"/>
      <c r="AA50" s="153"/>
      <c r="AC50" s="195"/>
      <c r="AD50" s="195"/>
      <c r="AU50" s="198"/>
      <c r="AV50" s="198"/>
      <c r="AW50" s="198"/>
      <c r="AX50" s="198"/>
      <c r="AY50" s="198"/>
      <c r="AZ50" s="198"/>
      <c r="BE50" s="153"/>
      <c r="BF50" s="153"/>
      <c r="BG50"/>
      <c r="BH50"/>
      <c r="BI50"/>
      <c r="BJ50"/>
      <c r="BK50"/>
      <c r="BL50"/>
    </row>
    <row r="51" spans="1:64">
      <c r="H51" s="401" t="s">
        <v>124</v>
      </c>
      <c r="J51" s="153">
        <f>J43</f>
        <v>12651.16</v>
      </c>
      <c r="M51" s="203"/>
      <c r="N51" s="203"/>
      <c r="O51" s="203"/>
      <c r="P51" s="203"/>
      <c r="R51" s="203"/>
      <c r="Z51" s="153"/>
      <c r="AA51" s="153"/>
      <c r="AC51" s="195"/>
      <c r="AD51" s="195"/>
      <c r="AU51" s="198"/>
      <c r="AV51" s="198"/>
      <c r="AW51" s="198"/>
      <c r="AX51" s="198"/>
      <c r="AY51" s="198"/>
      <c r="AZ51" s="198"/>
      <c r="BE51" s="153"/>
      <c r="BF51" s="153"/>
      <c r="BG51"/>
      <c r="BH51"/>
      <c r="BI51"/>
      <c r="BJ51"/>
      <c r="BK51"/>
      <c r="BL51"/>
    </row>
    <row r="52" spans="1:64">
      <c r="H52" s="401" t="s">
        <v>123</v>
      </c>
      <c r="J52" s="153">
        <f>J50+J51</f>
        <v>13283.27</v>
      </c>
      <c r="Z52" s="153"/>
      <c r="AA52" s="153"/>
      <c r="AC52" s="195"/>
      <c r="AD52" s="195"/>
      <c r="AU52" s="198"/>
      <c r="AV52" s="198"/>
      <c r="AW52" s="198"/>
      <c r="AX52" s="198"/>
      <c r="AY52" s="198"/>
      <c r="AZ52" s="198"/>
      <c r="BE52" s="153"/>
      <c r="BF52" s="153"/>
      <c r="BG52"/>
      <c r="BH52"/>
      <c r="BI52"/>
      <c r="BJ52"/>
      <c r="BK52"/>
      <c r="BL52"/>
    </row>
    <row r="53" spans="1:64">
      <c r="H53" s="401" t="s">
        <v>146</v>
      </c>
      <c r="J53" s="153">
        <f>J42</f>
        <v>11451.56</v>
      </c>
      <c r="Z53" s="153"/>
      <c r="AA53" s="153"/>
      <c r="AC53" s="195"/>
      <c r="AD53" s="195"/>
      <c r="AU53" s="198"/>
      <c r="AV53" s="198"/>
      <c r="AW53" s="198"/>
      <c r="AX53" s="198"/>
      <c r="AY53" s="198"/>
      <c r="AZ53" s="198"/>
      <c r="BE53" s="153"/>
      <c r="BF53" s="153"/>
      <c r="BG53"/>
      <c r="BH53"/>
      <c r="BI53"/>
      <c r="BJ53"/>
      <c r="BK53"/>
      <c r="BL53"/>
    </row>
    <row r="54" spans="1:64">
      <c r="H54" s="401" t="s">
        <v>125</v>
      </c>
      <c r="J54" s="500">
        <f>J52-J53</f>
        <v>1831.7100000000009</v>
      </c>
      <c r="Z54" s="153"/>
      <c r="AA54" s="153"/>
      <c r="AC54" s="195"/>
      <c r="AD54" s="195"/>
      <c r="AU54" s="198"/>
      <c r="AV54" s="198"/>
      <c r="AW54" s="198"/>
      <c r="AX54" s="198"/>
      <c r="AY54" s="198"/>
      <c r="AZ54" s="198"/>
      <c r="BE54" s="153"/>
      <c r="BF54" s="153"/>
      <c r="BG54"/>
      <c r="BH54"/>
      <c r="BI54"/>
      <c r="BJ54"/>
      <c r="BK54"/>
      <c r="BL54"/>
    </row>
    <row r="55" spans="1:64">
      <c r="A55" s="153"/>
      <c r="Z55" s="153"/>
      <c r="AA55" s="153"/>
      <c r="AC55" s="195"/>
      <c r="AD55" s="195"/>
      <c r="AE55" s="213"/>
      <c r="AF55" s="213"/>
      <c r="AG55" s="213"/>
      <c r="AH55" s="213"/>
      <c r="AU55" s="198"/>
      <c r="AV55" s="198"/>
      <c r="AW55" s="198"/>
      <c r="AX55" s="198"/>
      <c r="AY55" s="198"/>
      <c r="AZ55" s="198"/>
      <c r="BE55" s="153"/>
      <c r="BF55" s="153"/>
      <c r="BG55"/>
      <c r="BH55"/>
      <c r="BI55"/>
      <c r="BJ55"/>
      <c r="BK55"/>
      <c r="BL55"/>
    </row>
    <row r="56" spans="1:64">
      <c r="H56" s="212"/>
      <c r="I56" s="189"/>
      <c r="J56" s="153">
        <f>J50+J51-J53-J54</f>
        <v>0</v>
      </c>
      <c r="L56" s="526"/>
      <c r="Z56" s="153"/>
      <c r="AA56" s="153"/>
      <c r="AC56" s="195"/>
      <c r="AD56" s="195"/>
      <c r="AE56" s="213"/>
      <c r="AF56" s="213"/>
      <c r="AG56" s="213"/>
      <c r="AH56" s="213"/>
      <c r="AU56" s="800"/>
      <c r="AV56" s="622"/>
      <c r="AW56" s="482"/>
      <c r="AX56" s="482"/>
      <c r="AY56" s="622"/>
      <c r="AZ56" s="482"/>
      <c r="BA56" s="482"/>
      <c r="BB56" s="622"/>
      <c r="BC56" s="214"/>
      <c r="BD56" s="214"/>
      <c r="BE56" s="153"/>
      <c r="BF56" s="153"/>
      <c r="BG56"/>
      <c r="BH56"/>
      <c r="BI56"/>
      <c r="BJ56"/>
      <c r="BK56"/>
      <c r="BL56"/>
    </row>
    <row r="57" spans="1:64">
      <c r="H57" s="212"/>
      <c r="I57" s="189"/>
      <c r="Z57" s="153"/>
      <c r="AA57" s="153"/>
      <c r="AC57" s="195"/>
      <c r="AD57" s="195"/>
      <c r="AE57" s="213"/>
      <c r="AF57" s="213"/>
      <c r="AG57" s="213"/>
      <c r="AH57" s="213"/>
      <c r="AU57" s="800"/>
      <c r="AV57" s="622"/>
      <c r="AW57" s="482"/>
      <c r="AX57" s="482"/>
      <c r="AY57" s="622"/>
      <c r="AZ57" s="482"/>
      <c r="BA57" s="482"/>
      <c r="BB57" s="622"/>
      <c r="BC57" s="214"/>
      <c r="BD57" s="214"/>
      <c r="BE57" s="153"/>
      <c r="BF57" s="153"/>
      <c r="BG57"/>
      <c r="BH57"/>
      <c r="BI57"/>
      <c r="BJ57"/>
      <c r="BK57"/>
      <c r="BL57"/>
    </row>
    <row r="58" spans="1:64">
      <c r="H58" s="209" t="s">
        <v>391</v>
      </c>
      <c r="J58" s="153">
        <f>'BPA WH&lt;1&gt;'!Q37</f>
        <v>1199.6000000000004</v>
      </c>
      <c r="Z58" s="153"/>
      <c r="AA58" s="153"/>
      <c r="AC58" s="195"/>
      <c r="AD58" s="195"/>
      <c r="AE58" s="213"/>
      <c r="AF58" s="213"/>
      <c r="AG58" s="213"/>
      <c r="AH58" s="213"/>
      <c r="AU58" s="800"/>
      <c r="AV58" s="622"/>
      <c r="AW58" s="482"/>
      <c r="AX58" s="482"/>
      <c r="AY58" s="622"/>
      <c r="AZ58" s="482"/>
      <c r="BA58" s="482"/>
      <c r="BB58" s="622"/>
      <c r="BC58" s="214"/>
      <c r="BD58" s="214"/>
      <c r="BE58" s="153"/>
      <c r="BF58" s="153"/>
      <c r="BG58"/>
      <c r="BH58"/>
      <c r="BI58"/>
      <c r="BJ58"/>
      <c r="BK58"/>
      <c r="BL58"/>
    </row>
    <row r="59" spans="1:64">
      <c r="H59" s="209" t="s">
        <v>392</v>
      </c>
      <c r="J59" s="530">
        <f>J46-J58</f>
        <v>0</v>
      </c>
      <c r="K59" s="526" t="s">
        <v>394</v>
      </c>
      <c r="M59" s="527">
        <f>A35</f>
        <v>43829</v>
      </c>
      <c r="N59" s="528" t="s">
        <v>393</v>
      </c>
      <c r="O59" s="529">
        <f>A36+1</f>
        <v>43831</v>
      </c>
      <c r="Z59" s="153"/>
      <c r="AA59" s="153"/>
      <c r="AC59" s="195"/>
      <c r="AD59" s="195"/>
      <c r="AE59" s="213"/>
      <c r="AF59" s="213"/>
      <c r="AG59" s="213"/>
      <c r="AH59" s="213"/>
      <c r="AU59" s="800"/>
      <c r="AV59" s="622"/>
      <c r="AW59" s="482"/>
      <c r="AX59" s="482"/>
      <c r="AY59" s="622"/>
      <c r="AZ59" s="482"/>
      <c r="BA59" s="482"/>
      <c r="BB59" s="622"/>
      <c r="BC59" s="214"/>
      <c r="BD59" s="214"/>
      <c r="BE59" s="153"/>
      <c r="BF59" s="153"/>
      <c r="BG59"/>
      <c r="BH59"/>
      <c r="BI59"/>
      <c r="BJ59"/>
      <c r="BK59"/>
      <c r="BL59"/>
    </row>
    <row r="60" spans="1:64" ht="15.75" thickBot="1">
      <c r="H60" s="401"/>
      <c r="J60" s="531">
        <f>SUM(J58:J59)</f>
        <v>1199.6000000000004</v>
      </c>
      <c r="Z60" s="153"/>
      <c r="AA60" s="153"/>
      <c r="AC60" s="195"/>
      <c r="AD60" s="195"/>
      <c r="AE60" s="213"/>
      <c r="AF60" s="213"/>
      <c r="AG60" s="213"/>
      <c r="AH60" s="213"/>
      <c r="AU60" s="800"/>
      <c r="AV60" s="622"/>
      <c r="AW60" s="482"/>
      <c r="AX60" s="482"/>
      <c r="AY60" s="622"/>
      <c r="AZ60" s="482"/>
      <c r="BA60" s="482"/>
      <c r="BB60" s="622"/>
      <c r="BC60" s="214"/>
      <c r="BD60" s="214"/>
      <c r="BE60" s="153"/>
      <c r="BF60" s="153"/>
      <c r="BG60"/>
      <c r="BH60"/>
      <c r="BI60"/>
      <c r="BJ60"/>
      <c r="BK60"/>
      <c r="BL60"/>
    </row>
    <row r="61" spans="1:64" ht="15.75" thickTop="1">
      <c r="Z61" s="153"/>
      <c r="AA61" s="153"/>
      <c r="AC61" s="195"/>
      <c r="AD61" s="195"/>
      <c r="AE61" s="213"/>
      <c r="AF61" s="213"/>
      <c r="AG61" s="213"/>
      <c r="AH61" s="213"/>
      <c r="AU61" s="800"/>
      <c r="AV61" s="622"/>
      <c r="AW61" s="482"/>
      <c r="AX61" s="482"/>
      <c r="AY61" s="622"/>
      <c r="AZ61" s="482"/>
      <c r="BA61" s="482"/>
      <c r="BB61" s="622"/>
      <c r="BC61" s="214"/>
      <c r="BD61" s="214"/>
      <c r="BE61" s="153"/>
      <c r="BF61" s="153"/>
      <c r="BG61"/>
      <c r="BH61"/>
      <c r="BI61"/>
      <c r="BJ61"/>
      <c r="BK61"/>
      <c r="BL61"/>
    </row>
    <row r="62" spans="1:64">
      <c r="I62" s="159"/>
      <c r="J62" s="215"/>
      <c r="Z62" s="153"/>
      <c r="AA62" s="153"/>
      <c r="AC62" s="195"/>
      <c r="AD62" s="195"/>
      <c r="AE62" s="213"/>
      <c r="AF62" s="213"/>
      <c r="AG62" s="213"/>
      <c r="AH62" s="213"/>
      <c r="AU62" s="800"/>
      <c r="AV62" s="622"/>
      <c r="AW62" s="482"/>
      <c r="AX62" s="482"/>
      <c r="AY62" s="622"/>
      <c r="AZ62" s="482"/>
      <c r="BA62" s="482"/>
      <c r="BB62" s="622"/>
      <c r="BC62" s="214"/>
      <c r="BD62" s="214"/>
      <c r="BE62" s="153"/>
      <c r="BF62" s="153"/>
      <c r="BG62"/>
      <c r="BH62"/>
      <c r="BI62"/>
      <c r="BJ62"/>
      <c r="BK62"/>
      <c r="BL62"/>
    </row>
    <row r="63" spans="1:64">
      <c r="I63" s="159"/>
      <c r="J63" s="216"/>
      <c r="Z63" s="153"/>
      <c r="AA63" s="153"/>
      <c r="AC63" s="195"/>
      <c r="AD63" s="195"/>
      <c r="AE63" s="213"/>
      <c r="AF63" s="213"/>
      <c r="AG63" s="213"/>
      <c r="AH63" s="213"/>
      <c r="AU63" s="800"/>
      <c r="AV63" s="622"/>
      <c r="AW63" s="482"/>
      <c r="AX63" s="482"/>
      <c r="AY63" s="622"/>
      <c r="AZ63" s="482"/>
      <c r="BA63" s="482"/>
      <c r="BB63" s="622"/>
      <c r="BC63" s="214"/>
      <c r="BD63" s="214"/>
      <c r="BE63" s="153"/>
      <c r="BF63" s="153"/>
      <c r="BG63"/>
      <c r="BH63"/>
      <c r="BI63"/>
      <c r="BJ63"/>
      <c r="BK63"/>
      <c r="BL63"/>
    </row>
    <row r="64" spans="1:64">
      <c r="I64" s="159"/>
      <c r="J64" s="216"/>
      <c r="Z64" s="153"/>
      <c r="AA64" s="153"/>
      <c r="AC64" s="195"/>
      <c r="AD64" s="195"/>
      <c r="AE64" s="213"/>
      <c r="AF64" s="213"/>
      <c r="AG64" s="213"/>
      <c r="AH64" s="213"/>
      <c r="AU64" s="800"/>
      <c r="AV64" s="622"/>
      <c r="AW64" s="482"/>
      <c r="AX64" s="482"/>
      <c r="AY64" s="622"/>
      <c r="AZ64" s="482"/>
      <c r="BA64" s="482"/>
      <c r="BB64" s="622"/>
      <c r="BC64" s="214"/>
      <c r="BD64" s="214"/>
      <c r="BE64" s="153"/>
      <c r="BF64" s="153"/>
      <c r="BG64"/>
      <c r="BH64"/>
      <c r="BI64"/>
      <c r="BJ64"/>
      <c r="BK64"/>
      <c r="BL64"/>
    </row>
    <row r="65" spans="5:64">
      <c r="I65" s="159"/>
      <c r="J65" s="215"/>
      <c r="Z65" s="153"/>
      <c r="AA65" s="153"/>
      <c r="AC65" s="195"/>
      <c r="AD65" s="195"/>
      <c r="AE65" s="213"/>
      <c r="AF65" s="213"/>
      <c r="AG65" s="213"/>
      <c r="AH65" s="213"/>
      <c r="AU65" s="800"/>
      <c r="AV65" s="622"/>
      <c r="AW65" s="482"/>
      <c r="AX65" s="482"/>
      <c r="AY65" s="622"/>
      <c r="AZ65" s="482"/>
      <c r="BA65" s="482"/>
      <c r="BB65" s="622"/>
      <c r="BC65" s="214"/>
      <c r="BD65" s="214"/>
      <c r="BE65" s="153"/>
      <c r="BF65" s="153"/>
      <c r="BG65"/>
      <c r="BH65"/>
      <c r="BI65"/>
      <c r="BJ65"/>
      <c r="BK65"/>
      <c r="BL65"/>
    </row>
    <row r="66" spans="5:64">
      <c r="I66" s="159"/>
      <c r="J66" s="216"/>
      <c r="Z66" s="153"/>
      <c r="AA66" s="153"/>
      <c r="AC66" s="195"/>
      <c r="AD66" s="195"/>
      <c r="AE66" s="213"/>
      <c r="AF66" s="213"/>
      <c r="AG66" s="213"/>
      <c r="AH66" s="213"/>
      <c r="AU66" s="214"/>
      <c r="AV66" s="214"/>
      <c r="AW66" s="214"/>
      <c r="AX66" s="214"/>
      <c r="AY66" s="214"/>
      <c r="AZ66" s="214"/>
      <c r="BA66" s="214"/>
      <c r="BB66" s="214"/>
      <c r="BC66" s="214"/>
      <c r="BD66" s="214"/>
      <c r="BE66" s="153"/>
      <c r="BF66" s="153"/>
      <c r="BG66"/>
      <c r="BH66"/>
      <c r="BI66"/>
      <c r="BJ66"/>
      <c r="BK66"/>
      <c r="BL66"/>
    </row>
    <row r="67" spans="5:64">
      <c r="I67" s="159"/>
      <c r="J67" s="216"/>
      <c r="Z67" s="153"/>
      <c r="AA67" s="153"/>
      <c r="AC67" s="195"/>
      <c r="AD67" s="195"/>
      <c r="AE67" s="213"/>
      <c r="AF67" s="213"/>
      <c r="AG67" s="213"/>
      <c r="AH67" s="213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153"/>
      <c r="BF67" s="153"/>
      <c r="BG67"/>
      <c r="BH67"/>
      <c r="BI67"/>
      <c r="BJ67"/>
      <c r="BK67"/>
      <c r="BL67"/>
    </row>
    <row r="68" spans="5:64">
      <c r="I68" s="159"/>
      <c r="J68" s="215"/>
      <c r="Z68" s="153"/>
      <c r="AA68" s="153"/>
      <c r="AC68" s="195"/>
      <c r="AD68" s="195"/>
      <c r="AE68" s="213"/>
      <c r="AF68" s="213"/>
      <c r="AG68" s="213"/>
      <c r="AH68" s="213"/>
      <c r="AU68" s="198"/>
      <c r="AV68" s="198"/>
      <c r="AW68" s="198"/>
      <c r="AX68" s="198"/>
      <c r="AY68" s="198"/>
      <c r="AZ68" s="198"/>
      <c r="BE68" s="153"/>
      <c r="BF68" s="153"/>
      <c r="BG68"/>
      <c r="BH68"/>
      <c r="BI68"/>
      <c r="BJ68"/>
      <c r="BK68"/>
      <c r="BL68"/>
    </row>
    <row r="69" spans="5:64">
      <c r="I69" s="159"/>
      <c r="J69" s="215"/>
      <c r="Z69" s="153"/>
      <c r="AA69" s="153"/>
      <c r="AC69" s="195"/>
      <c r="AD69" s="195"/>
      <c r="AE69" s="213"/>
      <c r="AF69" s="213"/>
      <c r="AG69" s="213"/>
      <c r="AH69" s="213"/>
      <c r="AU69" s="198"/>
      <c r="AV69" s="198"/>
      <c r="AW69" s="198"/>
      <c r="AX69" s="198"/>
      <c r="AY69" s="198"/>
      <c r="AZ69" s="198"/>
      <c r="BE69" s="153"/>
      <c r="BF69" s="153"/>
      <c r="BG69"/>
      <c r="BH69"/>
      <c r="BI69"/>
      <c r="BJ69"/>
      <c r="BK69"/>
      <c r="BL69"/>
    </row>
    <row r="70" spans="5:64">
      <c r="I70" s="159"/>
      <c r="J70" s="215"/>
      <c r="Z70" s="153"/>
      <c r="AA70" s="153"/>
      <c r="AC70" s="195"/>
      <c r="AD70" s="195"/>
      <c r="AE70" s="213"/>
      <c r="AF70" s="213"/>
      <c r="AG70" s="213"/>
      <c r="AH70" s="213"/>
      <c r="AU70" s="198"/>
      <c r="AV70" s="198"/>
      <c r="AW70" s="198"/>
      <c r="AX70" s="198"/>
      <c r="AY70" s="198"/>
      <c r="AZ70" s="198"/>
      <c r="BE70" s="153"/>
      <c r="BF70" s="153"/>
      <c r="BG70"/>
      <c r="BH70"/>
      <c r="BI70"/>
      <c r="BJ70"/>
      <c r="BK70"/>
      <c r="BL70"/>
    </row>
    <row r="71" spans="5:64">
      <c r="E71" s="1265"/>
      <c r="F71" s="1265"/>
      <c r="G71" s="1265"/>
      <c r="I71" s="159"/>
      <c r="J71" s="215"/>
      <c r="Z71" s="153"/>
      <c r="AA71" s="153"/>
      <c r="AC71" s="195"/>
      <c r="AD71" s="195"/>
      <c r="AE71" s="213"/>
      <c r="AF71" s="213"/>
      <c r="AG71" s="213"/>
      <c r="AH71" s="213"/>
      <c r="AU71" s="198"/>
      <c r="AV71" s="198"/>
      <c r="AW71" s="198"/>
      <c r="AX71" s="198"/>
      <c r="AY71" s="198"/>
      <c r="AZ71" s="198"/>
      <c r="BE71" s="153"/>
      <c r="BF71" s="153"/>
      <c r="BG71"/>
      <c r="BH71"/>
      <c r="BI71"/>
      <c r="BJ71"/>
      <c r="BK71"/>
      <c r="BL71"/>
    </row>
    <row r="72" spans="5:64">
      <c r="I72" s="159"/>
      <c r="J72" s="215"/>
      <c r="Z72" s="153"/>
      <c r="AA72" s="153"/>
      <c r="AC72" s="195"/>
      <c r="AD72" s="195"/>
      <c r="AE72" s="213"/>
      <c r="AF72" s="213"/>
      <c r="AG72" s="213"/>
      <c r="AH72" s="213"/>
      <c r="AU72" s="198"/>
      <c r="AV72" s="198"/>
      <c r="AW72" s="198"/>
      <c r="AX72" s="198"/>
      <c r="AY72" s="198"/>
      <c r="AZ72" s="198"/>
      <c r="BE72" s="153"/>
      <c r="BF72" s="153"/>
      <c r="BG72"/>
      <c r="BH72"/>
      <c r="BI72"/>
      <c r="BJ72"/>
      <c r="BK72"/>
      <c r="BL72"/>
    </row>
    <row r="73" spans="5:64">
      <c r="I73" s="159"/>
      <c r="J73" s="215"/>
      <c r="AC73" s="195"/>
      <c r="AD73" s="195"/>
      <c r="AE73" s="213"/>
      <c r="AF73" s="213"/>
      <c r="AG73" s="213"/>
      <c r="AH73" s="213"/>
      <c r="AU73" s="198"/>
      <c r="AV73" s="198"/>
      <c r="AW73" s="198"/>
      <c r="AX73" s="198"/>
      <c r="AY73" s="198"/>
      <c r="AZ73" s="198"/>
      <c r="BE73" s="153"/>
      <c r="BF73" s="153"/>
      <c r="BG73"/>
      <c r="BH73"/>
      <c r="BI73"/>
      <c r="BJ73"/>
      <c r="BK73"/>
      <c r="BL73"/>
    </row>
    <row r="74" spans="5:64">
      <c r="I74" s="159"/>
      <c r="J74" s="215"/>
      <c r="AC74" s="213"/>
      <c r="AD74" s="213"/>
      <c r="AE74" s="213"/>
      <c r="AF74" s="213"/>
      <c r="AG74" s="213"/>
      <c r="AH74" s="213"/>
      <c r="AU74" s="198"/>
      <c r="AV74" s="198"/>
      <c r="AW74" s="198"/>
      <c r="AX74" s="198"/>
      <c r="AY74" s="198"/>
      <c r="AZ74" s="198"/>
      <c r="BE74" s="153"/>
      <c r="BF74" s="153"/>
      <c r="BG74"/>
      <c r="BH74"/>
      <c r="BI74"/>
      <c r="BJ74"/>
      <c r="BK74"/>
      <c r="BL74"/>
    </row>
    <row r="75" spans="5:64">
      <c r="I75" s="159"/>
      <c r="J75" s="215"/>
      <c r="AC75" s="213"/>
      <c r="AD75" s="213"/>
      <c r="AE75" s="213"/>
      <c r="AF75" s="213"/>
      <c r="AG75" s="213"/>
      <c r="AH75" s="213"/>
      <c r="AU75" s="198"/>
      <c r="AV75" s="198"/>
      <c r="AW75" s="198"/>
      <c r="AX75" s="198"/>
      <c r="AY75" s="198"/>
      <c r="AZ75" s="198"/>
      <c r="BE75" s="153"/>
      <c r="BF75" s="153"/>
      <c r="BG75"/>
      <c r="BH75"/>
      <c r="BI75"/>
      <c r="BJ75"/>
      <c r="BK75"/>
      <c r="BL75"/>
    </row>
    <row r="76" spans="5:64">
      <c r="I76" s="159"/>
      <c r="J76" s="215"/>
      <c r="AC76" s="213"/>
      <c r="AD76" s="213"/>
      <c r="AE76" s="213"/>
      <c r="AF76" s="213"/>
      <c r="AG76" s="213"/>
      <c r="AH76" s="213"/>
      <c r="AU76" s="198"/>
      <c r="AV76" s="198"/>
      <c r="AW76" s="198"/>
      <c r="AX76" s="198"/>
      <c r="AY76" s="198"/>
      <c r="AZ76" s="198"/>
      <c r="BE76" s="153"/>
      <c r="BF76" s="153"/>
      <c r="BG76"/>
      <c r="BH76"/>
      <c r="BI76"/>
      <c r="BJ76"/>
      <c r="BK76"/>
      <c r="BL76"/>
    </row>
    <row r="77" spans="5:64">
      <c r="I77" s="159"/>
      <c r="J77" s="215"/>
      <c r="AC77" s="213"/>
      <c r="AD77" s="213"/>
      <c r="AE77" s="213"/>
      <c r="AF77" s="213"/>
      <c r="AG77" s="213"/>
      <c r="AH77" s="213"/>
      <c r="AU77" s="198"/>
      <c r="AV77" s="198"/>
      <c r="AW77" s="198"/>
      <c r="AX77" s="198"/>
      <c r="AY77" s="198"/>
      <c r="AZ77" s="198"/>
      <c r="BE77" s="153"/>
      <c r="BF77" s="153"/>
      <c r="BG77"/>
      <c r="BH77"/>
      <c r="BI77"/>
      <c r="BJ77"/>
      <c r="BK77"/>
      <c r="BL77"/>
    </row>
    <row r="78" spans="5:64">
      <c r="I78" s="159"/>
      <c r="J78" s="215"/>
      <c r="AC78" s="213"/>
      <c r="AD78" s="213"/>
      <c r="AE78" s="213"/>
      <c r="AF78" s="213"/>
      <c r="AG78" s="213"/>
      <c r="AH78" s="213"/>
    </row>
    <row r="79" spans="5:64">
      <c r="I79" s="159"/>
      <c r="J79" s="215"/>
      <c r="AC79" s="213"/>
      <c r="AD79" s="213"/>
      <c r="AE79" s="213"/>
      <c r="AF79" s="213"/>
      <c r="AG79" s="213"/>
      <c r="AH79" s="213"/>
    </row>
    <row r="80" spans="5:64">
      <c r="I80" s="159"/>
      <c r="J80" s="215"/>
      <c r="AC80" s="213"/>
      <c r="AD80" s="213"/>
      <c r="AE80" s="213"/>
      <c r="AF80" s="213"/>
      <c r="AG80" s="213"/>
      <c r="AH80" s="213"/>
    </row>
    <row r="81" spans="9:34">
      <c r="I81" s="159"/>
      <c r="J81" s="215"/>
      <c r="AC81" s="213"/>
      <c r="AD81" s="213"/>
      <c r="AE81" s="213"/>
      <c r="AF81" s="213"/>
      <c r="AG81" s="213"/>
      <c r="AH81" s="213"/>
    </row>
    <row r="82" spans="9:34">
      <c r="I82" s="159"/>
      <c r="J82" s="215"/>
      <c r="AC82" s="213"/>
      <c r="AD82" s="213"/>
      <c r="AE82" s="213"/>
      <c r="AF82" s="213"/>
      <c r="AG82" s="213"/>
      <c r="AH82" s="213"/>
    </row>
    <row r="83" spans="9:34">
      <c r="I83" s="159"/>
      <c r="J83" s="215"/>
      <c r="AC83" s="213"/>
      <c r="AD83" s="213"/>
      <c r="AE83" s="213"/>
      <c r="AF83" s="213"/>
      <c r="AG83" s="213"/>
      <c r="AH83" s="213"/>
    </row>
    <row r="84" spans="9:34">
      <c r="I84" s="159"/>
      <c r="J84" s="215"/>
      <c r="AC84" s="213"/>
      <c r="AD84" s="213"/>
      <c r="AE84" s="213"/>
      <c r="AF84" s="213"/>
      <c r="AG84" s="213"/>
      <c r="AH84" s="213"/>
    </row>
    <row r="85" spans="9:34">
      <c r="I85" s="159"/>
      <c r="J85" s="215"/>
    </row>
  </sheetData>
  <mergeCells count="41">
    <mergeCell ref="BE3:BE4"/>
    <mergeCell ref="AK1:BD1"/>
    <mergeCell ref="X3:X4"/>
    <mergeCell ref="AY2:BA2"/>
    <mergeCell ref="AV2:AX2"/>
    <mergeCell ref="AK2:AU2"/>
    <mergeCell ref="BB2:BC2"/>
    <mergeCell ref="BD2:BE2"/>
    <mergeCell ref="V3:V4"/>
    <mergeCell ref="AY3:AY4"/>
    <mergeCell ref="BB3:BB4"/>
    <mergeCell ref="AX3:AX4"/>
    <mergeCell ref="BD3:BD4"/>
    <mergeCell ref="BC3:BC4"/>
    <mergeCell ref="AZ3:AZ4"/>
    <mergeCell ref="BA3:BA4"/>
    <mergeCell ref="AK3:AK4"/>
    <mergeCell ref="W3:W4"/>
    <mergeCell ref="AH3:AI3"/>
    <mergeCell ref="A2:A4"/>
    <mergeCell ref="B2:C2"/>
    <mergeCell ref="B3:C3"/>
    <mergeCell ref="G3:G4"/>
    <mergeCell ref="D3:E3"/>
    <mergeCell ref="F3:F4"/>
    <mergeCell ref="T3:T4"/>
    <mergeCell ref="P1:AJ2"/>
    <mergeCell ref="BF4:BH4"/>
    <mergeCell ref="BJ4:BL4"/>
    <mergeCell ref="K2:K4"/>
    <mergeCell ref="H1:O1"/>
    <mergeCell ref="J3:J4"/>
    <mergeCell ref="H2:J2"/>
    <mergeCell ref="I3:I4"/>
    <mergeCell ref="H3:H4"/>
    <mergeCell ref="S3:S4"/>
    <mergeCell ref="P3:P4"/>
    <mergeCell ref="Q3:Q4"/>
    <mergeCell ref="R3:R4"/>
    <mergeCell ref="AL3:AL4"/>
    <mergeCell ref="U3:U4"/>
  </mergeCells>
  <pageMargins left="0.15748031496062992" right="0.15748031496062992" top="0.74803149606299213" bottom="0.74803149606299213" header="0.31496062992125984" footer="0.31496062992125984"/>
  <pageSetup paperSize="8" scale="74" fitToWidth="3" orientation="landscape" r:id="rId1"/>
  <customProperties>
    <customPr name="EpmWorksheetKeyString_GUID" r:id="rId2"/>
  </customProperties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O90"/>
  <sheetViews>
    <sheetView workbookViewId="0">
      <pane xSplit="1" ySplit="2" topLeftCell="B70" activePane="bottomRight" state="frozen"/>
      <selection activeCell="B5" sqref="B5:E32"/>
      <selection pane="topRight" activeCell="B5" sqref="B5:E32"/>
      <selection pane="bottomLeft" activeCell="B5" sqref="B5:E32"/>
      <selection pane="bottomRight" activeCell="C78" sqref="C78"/>
    </sheetView>
  </sheetViews>
  <sheetFormatPr defaultColWidth="9.140625" defaultRowHeight="12.75" outlineLevelRow="1"/>
  <cols>
    <col min="1" max="1" width="9.140625" style="424"/>
    <col min="2" max="2" width="10.85546875" style="426" customWidth="1"/>
    <col min="3" max="4" width="17.85546875" style="426" customWidth="1"/>
    <col min="5" max="5" width="13.28515625" style="426" bestFit="1" customWidth="1"/>
    <col min="6" max="6" width="26.7109375" style="426" customWidth="1"/>
    <col min="7" max="7" width="8.28515625" style="426" customWidth="1"/>
    <col min="8" max="9" width="9.140625" style="426"/>
    <col min="10" max="10" width="6.85546875" style="426" customWidth="1"/>
    <col min="11" max="11" width="9" style="426" customWidth="1"/>
    <col min="12" max="12" width="9.85546875" style="426" hidden="1" customWidth="1"/>
    <col min="13" max="13" width="9.140625" style="429"/>
    <col min="14" max="14" width="9.140625" style="424"/>
    <col min="15" max="15" width="9.140625" style="425"/>
    <col min="16" max="16" width="10.28515625" style="426" customWidth="1"/>
    <col min="17" max="16384" width="9.140625" style="426"/>
  </cols>
  <sheetData>
    <row r="1" spans="1:15" ht="63.75">
      <c r="A1" s="1858" t="s">
        <v>239</v>
      </c>
      <c r="B1" s="1859" t="s">
        <v>168</v>
      </c>
      <c r="C1" s="1860" t="s">
        <v>240</v>
      </c>
      <c r="D1" s="1860"/>
      <c r="E1" s="1859" t="s">
        <v>241</v>
      </c>
      <c r="F1" s="1859" t="s">
        <v>242</v>
      </c>
      <c r="G1" s="422" t="s">
        <v>243</v>
      </c>
      <c r="H1" s="422" t="s">
        <v>244</v>
      </c>
      <c r="I1" s="422" t="s">
        <v>245</v>
      </c>
      <c r="J1" s="422" t="s">
        <v>246</v>
      </c>
      <c r="K1" s="422" t="s">
        <v>247</v>
      </c>
      <c r="L1" s="422" t="s">
        <v>147</v>
      </c>
      <c r="M1" s="423"/>
    </row>
    <row r="2" spans="1:15">
      <c r="A2" s="1858"/>
      <c r="B2" s="1859"/>
      <c r="C2" s="427" t="s">
        <v>248</v>
      </c>
      <c r="D2" s="427" t="s">
        <v>249</v>
      </c>
      <c r="E2" s="1859"/>
      <c r="F2" s="1859"/>
      <c r="G2" s="422" t="s">
        <v>148</v>
      </c>
      <c r="H2" s="428"/>
      <c r="I2" s="428"/>
      <c r="J2" s="428"/>
      <c r="K2" s="428"/>
      <c r="L2" s="428"/>
      <c r="N2" s="424" t="s">
        <v>367</v>
      </c>
      <c r="O2" s="425" t="s">
        <v>368</v>
      </c>
    </row>
    <row r="3" spans="1:15" hidden="1" outlineLevel="1">
      <c r="A3" s="430">
        <v>1</v>
      </c>
      <c r="B3" s="431">
        <v>40562</v>
      </c>
      <c r="C3" s="432">
        <v>40562.517361111109</v>
      </c>
      <c r="D3" s="432">
        <v>40562.666666666664</v>
      </c>
      <c r="E3" s="433" t="s">
        <v>151</v>
      </c>
      <c r="F3" s="433" t="s">
        <v>250</v>
      </c>
      <c r="G3" s="434">
        <f>D3-C3</f>
        <v>0.14930555555474712</v>
      </c>
      <c r="H3" s="435"/>
      <c r="I3" s="435"/>
      <c r="J3" s="435"/>
      <c r="K3" s="435"/>
      <c r="L3" s="428"/>
    </row>
    <row r="4" spans="1:15" hidden="1" outlineLevel="1">
      <c r="A4" s="430">
        <v>2</v>
      </c>
      <c r="B4" s="431">
        <v>40563</v>
      </c>
      <c r="C4" s="432">
        <v>40563.402777777781</v>
      </c>
      <c r="D4" s="432">
        <v>40564.416666666664</v>
      </c>
      <c r="E4" s="433" t="s">
        <v>151</v>
      </c>
      <c r="F4" s="433" t="s">
        <v>251</v>
      </c>
      <c r="G4" s="434">
        <f>D4-C4</f>
        <v>1.0138888888832298</v>
      </c>
      <c r="H4" s="435"/>
      <c r="I4" s="435"/>
      <c r="J4" s="435"/>
      <c r="K4" s="435"/>
      <c r="L4" s="428"/>
    </row>
    <row r="5" spans="1:15" ht="25.5" hidden="1" outlineLevel="1">
      <c r="A5" s="430">
        <v>3</v>
      </c>
      <c r="B5" s="431">
        <v>40575</v>
      </c>
      <c r="C5" s="432">
        <v>40575.979166666664</v>
      </c>
      <c r="D5" s="432">
        <v>40576.833333333336</v>
      </c>
      <c r="E5" s="433" t="s">
        <v>252</v>
      </c>
      <c r="F5" s="433" t="s">
        <v>253</v>
      </c>
      <c r="G5" s="434">
        <f>D5-C5</f>
        <v>0.85416666667151731</v>
      </c>
      <c r="H5" s="435"/>
      <c r="I5" s="435"/>
      <c r="J5" s="435"/>
      <c r="K5" s="435"/>
      <c r="L5" s="428"/>
    </row>
    <row r="6" spans="1:15" hidden="1" outlineLevel="1">
      <c r="A6" s="430">
        <v>4</v>
      </c>
      <c r="B6" s="431">
        <v>40577</v>
      </c>
      <c r="C6" s="432">
        <v>40577.911805555559</v>
      </c>
      <c r="D6" s="432">
        <v>40578.10833333333</v>
      </c>
      <c r="E6" s="433" t="s">
        <v>151</v>
      </c>
      <c r="F6" s="433" t="s">
        <v>250</v>
      </c>
      <c r="G6" s="434">
        <f>D6-C6</f>
        <v>0.1965277777708252</v>
      </c>
      <c r="H6" s="435"/>
      <c r="I6" s="435"/>
      <c r="J6" s="435"/>
      <c r="K6" s="435"/>
      <c r="L6" s="428"/>
    </row>
    <row r="7" spans="1:15" hidden="1" outlineLevel="1">
      <c r="A7" s="430">
        <v>5</v>
      </c>
      <c r="B7" s="431">
        <v>40581</v>
      </c>
      <c r="C7" s="432">
        <v>40581.340277777781</v>
      </c>
      <c r="D7" s="432">
        <v>40581.364583333336</v>
      </c>
      <c r="E7" s="433" t="s">
        <v>151</v>
      </c>
      <c r="F7" s="433" t="s">
        <v>251</v>
      </c>
      <c r="G7" s="434">
        <f t="shared" ref="G7:G19" si="0">D7-C7</f>
        <v>2.4305555554747116E-2</v>
      </c>
      <c r="H7" s="435"/>
      <c r="I7" s="435"/>
      <c r="J7" s="435"/>
      <c r="K7" s="435"/>
      <c r="L7" s="428"/>
    </row>
    <row r="8" spans="1:15" hidden="1" outlineLevel="1">
      <c r="A8" s="430">
        <v>6</v>
      </c>
      <c r="B8" s="431">
        <v>40582</v>
      </c>
      <c r="C8" s="432">
        <v>40582.930555555555</v>
      </c>
      <c r="D8" s="432">
        <v>40582.978472222225</v>
      </c>
      <c r="E8" s="433" t="s">
        <v>151</v>
      </c>
      <c r="F8" s="433" t="s">
        <v>251</v>
      </c>
      <c r="G8" s="434">
        <f t="shared" si="0"/>
        <v>4.7916666670062114E-2</v>
      </c>
      <c r="H8" s="435"/>
      <c r="I8" s="435"/>
      <c r="J8" s="435"/>
      <c r="K8" s="435"/>
      <c r="L8" s="428"/>
    </row>
    <row r="9" spans="1:15" hidden="1" outlineLevel="1">
      <c r="A9" s="430">
        <v>7</v>
      </c>
      <c r="B9" s="431">
        <v>40585</v>
      </c>
      <c r="C9" s="432">
        <v>40585.784722222219</v>
      </c>
      <c r="D9" s="432">
        <v>40585.822916666664</v>
      </c>
      <c r="E9" s="433" t="s">
        <v>151</v>
      </c>
      <c r="F9" s="433" t="s">
        <v>250</v>
      </c>
      <c r="G9" s="434">
        <f t="shared" si="0"/>
        <v>3.8194444445252884E-2</v>
      </c>
      <c r="H9" s="435"/>
      <c r="I9" s="435"/>
      <c r="J9" s="435"/>
      <c r="K9" s="435"/>
      <c r="L9" s="428"/>
    </row>
    <row r="10" spans="1:15" hidden="1" outlineLevel="1">
      <c r="A10" s="430">
        <v>8</v>
      </c>
      <c r="B10" s="431">
        <v>40590</v>
      </c>
      <c r="C10" s="432">
        <v>40590.150694444441</v>
      </c>
      <c r="D10" s="432">
        <v>40591.918055555558</v>
      </c>
      <c r="E10" s="433" t="s">
        <v>151</v>
      </c>
      <c r="F10" s="433" t="s">
        <v>250</v>
      </c>
      <c r="G10" s="434">
        <f t="shared" si="0"/>
        <v>1.7673611111167702</v>
      </c>
      <c r="H10" s="435"/>
      <c r="I10" s="435"/>
      <c r="J10" s="435"/>
      <c r="K10" s="435"/>
      <c r="L10" s="428"/>
    </row>
    <row r="11" spans="1:15" ht="25.5" hidden="1" outlineLevel="1">
      <c r="A11" s="430">
        <v>9</v>
      </c>
      <c r="B11" s="431">
        <v>40599</v>
      </c>
      <c r="C11" s="432">
        <v>40599.507638888892</v>
      </c>
      <c r="D11" s="432">
        <v>40600</v>
      </c>
      <c r="E11" s="433" t="s">
        <v>254</v>
      </c>
      <c r="F11" s="433" t="s">
        <v>320</v>
      </c>
      <c r="G11" s="434">
        <f>D11-C11</f>
        <v>0.49236111110803904</v>
      </c>
      <c r="H11" s="435"/>
      <c r="I11" s="435"/>
      <c r="J11" s="435"/>
      <c r="K11" s="435"/>
      <c r="L11" s="428"/>
    </row>
    <row r="12" spans="1:15" ht="25.5" hidden="1" outlineLevel="1">
      <c r="A12" s="430">
        <v>10</v>
      </c>
      <c r="B12" s="431">
        <v>40601</v>
      </c>
      <c r="C12" s="432">
        <v>40601.052083333336</v>
      </c>
      <c r="D12" s="432">
        <v>40601.1875</v>
      </c>
      <c r="E12" s="433" t="s">
        <v>321</v>
      </c>
      <c r="F12" s="433" t="s">
        <v>322</v>
      </c>
      <c r="G12" s="434">
        <f t="shared" si="0"/>
        <v>0.13541666666424135</v>
      </c>
      <c r="H12" s="435"/>
      <c r="I12" s="435"/>
      <c r="J12" s="435"/>
      <c r="K12" s="435"/>
      <c r="L12" s="428"/>
    </row>
    <row r="13" spans="1:15" hidden="1" outlineLevel="1">
      <c r="A13" s="430">
        <v>11</v>
      </c>
      <c r="B13" s="431">
        <v>40601</v>
      </c>
      <c r="C13" s="432">
        <v>40601.538194444445</v>
      </c>
      <c r="D13" s="432">
        <v>40601.588194444441</v>
      </c>
      <c r="E13" s="433" t="s">
        <v>152</v>
      </c>
      <c r="F13" s="433" t="s">
        <v>323</v>
      </c>
      <c r="G13" s="434">
        <f t="shared" si="0"/>
        <v>4.9999999995634425E-2</v>
      </c>
      <c r="H13" s="435"/>
      <c r="I13" s="435"/>
      <c r="J13" s="435"/>
      <c r="K13" s="435"/>
      <c r="L13" s="428"/>
    </row>
    <row r="14" spans="1:15" ht="51" hidden="1" outlineLevel="1">
      <c r="A14" s="430">
        <v>12</v>
      </c>
      <c r="B14" s="431">
        <v>40608</v>
      </c>
      <c r="C14" s="432">
        <v>40608.741666666669</v>
      </c>
      <c r="D14" s="432">
        <v>40608.774305555555</v>
      </c>
      <c r="E14" s="433" t="s">
        <v>324</v>
      </c>
      <c r="F14" s="433" t="s">
        <v>325</v>
      </c>
      <c r="G14" s="434">
        <f t="shared" si="0"/>
        <v>3.2638888886140194E-2</v>
      </c>
      <c r="H14" s="435"/>
      <c r="I14" s="435"/>
      <c r="J14" s="435"/>
      <c r="K14" s="435"/>
      <c r="L14" s="428"/>
    </row>
    <row r="15" spans="1:15" s="442" customFormat="1" hidden="1" outlineLevel="1">
      <c r="A15" s="430">
        <v>13</v>
      </c>
      <c r="B15" s="431">
        <v>40617</v>
      </c>
      <c r="C15" s="432">
        <v>40617.951388888891</v>
      </c>
      <c r="D15" s="432">
        <v>40618.083333333336</v>
      </c>
      <c r="E15" s="436" t="s">
        <v>326</v>
      </c>
      <c r="F15" s="436" t="s">
        <v>327</v>
      </c>
      <c r="G15" s="434">
        <f t="shared" si="0"/>
        <v>0.13194444444525288</v>
      </c>
      <c r="H15" s="437"/>
      <c r="I15" s="437"/>
      <c r="J15" s="437"/>
      <c r="K15" s="437"/>
      <c r="L15" s="438"/>
      <c r="M15" s="439"/>
      <c r="N15" s="440"/>
      <c r="O15" s="441"/>
    </row>
    <row r="16" spans="1:15" s="442" customFormat="1" ht="25.5" hidden="1" outlineLevel="1">
      <c r="A16" s="430">
        <v>14</v>
      </c>
      <c r="B16" s="431">
        <v>40618</v>
      </c>
      <c r="C16" s="432">
        <v>40618.574305555558</v>
      </c>
      <c r="D16" s="432">
        <v>40619</v>
      </c>
      <c r="E16" s="433" t="s">
        <v>328</v>
      </c>
      <c r="F16" s="433" t="s">
        <v>329</v>
      </c>
      <c r="G16" s="434">
        <f>D16-C16</f>
        <v>0.4256944444423425</v>
      </c>
      <c r="H16" s="437"/>
      <c r="I16" s="437"/>
      <c r="J16" s="437"/>
      <c r="K16" s="437"/>
      <c r="L16" s="438"/>
      <c r="M16" s="439"/>
      <c r="N16" s="440"/>
      <c r="O16" s="441"/>
    </row>
    <row r="17" spans="1:15" s="442" customFormat="1" ht="38.25" hidden="1" outlineLevel="1">
      <c r="A17" s="430">
        <v>15</v>
      </c>
      <c r="B17" s="443">
        <v>40619</v>
      </c>
      <c r="C17" s="432">
        <v>40619</v>
      </c>
      <c r="D17" s="432">
        <v>40619.3125</v>
      </c>
      <c r="E17" s="444" t="s">
        <v>326</v>
      </c>
      <c r="F17" s="444" t="s">
        <v>330</v>
      </c>
      <c r="G17" s="434">
        <f>D17-C17</f>
        <v>0.3125</v>
      </c>
      <c r="H17" s="437"/>
      <c r="I17" s="437"/>
      <c r="J17" s="437"/>
      <c r="K17" s="437"/>
      <c r="L17" s="438"/>
      <c r="M17" s="439"/>
      <c r="N17" s="440"/>
      <c r="O17" s="441"/>
    </row>
    <row r="18" spans="1:15" s="442" customFormat="1" ht="25.5" hidden="1" outlineLevel="1">
      <c r="A18" s="430">
        <v>16</v>
      </c>
      <c r="B18" s="443">
        <v>40621</v>
      </c>
      <c r="C18" s="445">
        <v>40621.833333333336</v>
      </c>
      <c r="D18" s="446">
        <v>40621.87777777778</v>
      </c>
      <c r="E18" s="444" t="s">
        <v>151</v>
      </c>
      <c r="F18" s="444" t="s">
        <v>331</v>
      </c>
      <c r="G18" s="434">
        <f t="shared" si="0"/>
        <v>4.4444444443797693E-2</v>
      </c>
      <c r="H18" s="437"/>
      <c r="I18" s="437"/>
      <c r="J18" s="437"/>
      <c r="K18" s="437"/>
      <c r="L18" s="438"/>
      <c r="M18" s="439"/>
      <c r="N18" s="440"/>
      <c r="O18" s="441"/>
    </row>
    <row r="19" spans="1:15" s="442" customFormat="1" hidden="1" outlineLevel="1">
      <c r="A19" s="430">
        <v>17</v>
      </c>
      <c r="B19" s="443">
        <v>40622</v>
      </c>
      <c r="C19" s="445">
        <v>40622.9375</v>
      </c>
      <c r="D19" s="446">
        <v>40630.788888888892</v>
      </c>
      <c r="E19" s="444" t="s">
        <v>150</v>
      </c>
      <c r="F19" s="444" t="s">
        <v>332</v>
      </c>
      <c r="G19" s="434">
        <f t="shared" si="0"/>
        <v>7.851388888891961</v>
      </c>
      <c r="H19" s="437"/>
      <c r="I19" s="437"/>
      <c r="J19" s="437"/>
      <c r="K19" s="437"/>
      <c r="L19" s="438"/>
      <c r="M19" s="439"/>
      <c r="N19" s="440"/>
      <c r="O19" s="441"/>
    </row>
    <row r="20" spans="1:15" s="442" customFormat="1" ht="25.5" hidden="1" outlineLevel="1">
      <c r="A20" s="430">
        <v>18</v>
      </c>
      <c r="B20" s="443">
        <v>40630</v>
      </c>
      <c r="C20" s="445">
        <v>40630.810416666667</v>
      </c>
      <c r="D20" s="446">
        <v>40630.894444444442</v>
      </c>
      <c r="E20" s="444" t="s">
        <v>254</v>
      </c>
      <c r="F20" s="444" t="s">
        <v>333</v>
      </c>
      <c r="G20" s="434">
        <f>D20-C20</f>
        <v>8.4027777775190771E-2</v>
      </c>
      <c r="H20" s="437"/>
      <c r="I20" s="437"/>
      <c r="J20" s="437"/>
      <c r="K20" s="437"/>
      <c r="L20" s="438"/>
      <c r="M20" s="439"/>
      <c r="N20" s="440"/>
      <c r="O20" s="441"/>
    </row>
    <row r="21" spans="1:15" s="442" customFormat="1" hidden="1" outlineLevel="1">
      <c r="A21" s="430">
        <v>19</v>
      </c>
      <c r="B21" s="443">
        <v>40633</v>
      </c>
      <c r="C21" s="445">
        <v>40633.479166666664</v>
      </c>
      <c r="D21" s="446">
        <v>40637.104166666664</v>
      </c>
      <c r="E21" s="444" t="s">
        <v>334</v>
      </c>
      <c r="F21" s="444" t="s">
        <v>335</v>
      </c>
      <c r="G21" s="434">
        <f>D21-C21</f>
        <v>3.625</v>
      </c>
      <c r="H21" s="437"/>
      <c r="I21" s="437"/>
      <c r="J21" s="437"/>
      <c r="K21" s="437"/>
      <c r="L21" s="438"/>
      <c r="M21" s="439"/>
      <c r="N21" s="440"/>
      <c r="O21" s="441"/>
    </row>
    <row r="22" spans="1:15" s="442" customFormat="1" hidden="1" outlineLevel="1">
      <c r="A22" s="430">
        <v>20</v>
      </c>
      <c r="B22" s="443">
        <v>40654</v>
      </c>
      <c r="C22" s="445">
        <v>40654.560416666667</v>
      </c>
      <c r="D22" s="446">
        <v>40657.118055555555</v>
      </c>
      <c r="E22" s="444" t="s">
        <v>151</v>
      </c>
      <c r="F22" s="444" t="s">
        <v>250</v>
      </c>
      <c r="G22" s="434">
        <f>D22-C22</f>
        <v>2.5576388888875954</v>
      </c>
      <c r="H22" s="437"/>
      <c r="I22" s="437"/>
      <c r="J22" s="437"/>
      <c r="K22" s="437"/>
      <c r="L22" s="438" t="s">
        <v>255</v>
      </c>
      <c r="M22" s="439"/>
      <c r="N22" s="440"/>
      <c r="O22" s="441"/>
    </row>
    <row r="23" spans="1:15" s="442" customFormat="1" ht="25.5" hidden="1" outlineLevel="1">
      <c r="A23" s="430">
        <v>21</v>
      </c>
      <c r="B23" s="443">
        <v>40657</v>
      </c>
      <c r="C23" s="445">
        <v>40657.667361111111</v>
      </c>
      <c r="D23" s="446">
        <v>40657.75</v>
      </c>
      <c r="E23" s="444" t="s">
        <v>336</v>
      </c>
      <c r="F23" s="444" t="s">
        <v>337</v>
      </c>
      <c r="G23" s="434">
        <f>D23-C23</f>
        <v>8.2638888889050577E-2</v>
      </c>
      <c r="H23" s="437"/>
      <c r="I23" s="437"/>
      <c r="J23" s="437"/>
      <c r="K23" s="437"/>
      <c r="L23" s="438"/>
      <c r="M23" s="439"/>
      <c r="N23" s="440"/>
      <c r="O23" s="441"/>
    </row>
    <row r="24" spans="1:15" s="442" customFormat="1" hidden="1" outlineLevel="1">
      <c r="A24" s="430">
        <v>22</v>
      </c>
      <c r="B24" s="443">
        <v>40659</v>
      </c>
      <c r="C24" s="445">
        <v>40659.620833333334</v>
      </c>
      <c r="D24" s="446">
        <v>40665.518750000003</v>
      </c>
      <c r="E24" s="444" t="s">
        <v>338</v>
      </c>
      <c r="F24" s="444" t="s">
        <v>339</v>
      </c>
      <c r="G24" s="434">
        <f>D24-C24</f>
        <v>5.8979166666686069</v>
      </c>
      <c r="H24" s="437"/>
      <c r="I24" s="437"/>
      <c r="J24" s="437"/>
      <c r="K24" s="437"/>
      <c r="L24" s="438"/>
      <c r="M24" s="439"/>
      <c r="N24" s="440"/>
      <c r="O24" s="441"/>
    </row>
    <row r="25" spans="1:15" s="442" customFormat="1" hidden="1" outlineLevel="1">
      <c r="A25" s="430">
        <v>23</v>
      </c>
      <c r="B25" s="443">
        <v>40681</v>
      </c>
      <c r="C25" s="445">
        <v>40681.39166666667</v>
      </c>
      <c r="D25" s="446">
        <v>40682</v>
      </c>
      <c r="E25" s="444" t="s">
        <v>152</v>
      </c>
      <c r="F25" s="444" t="s">
        <v>340</v>
      </c>
      <c r="G25" s="434">
        <f t="shared" ref="G25:G70" si="1">D25-C25</f>
        <v>0.60833333332993789</v>
      </c>
      <c r="H25" s="437"/>
      <c r="I25" s="437"/>
      <c r="J25" s="437"/>
      <c r="K25" s="437"/>
      <c r="L25" s="438"/>
      <c r="M25" s="439"/>
      <c r="N25" s="440"/>
      <c r="O25" s="441"/>
    </row>
    <row r="26" spans="1:15" s="442" customFormat="1" hidden="1" outlineLevel="1">
      <c r="A26" s="430">
        <v>24</v>
      </c>
      <c r="B26" s="443">
        <v>40694</v>
      </c>
      <c r="C26" s="445">
        <v>40694.75</v>
      </c>
      <c r="D26" s="446">
        <v>40695</v>
      </c>
      <c r="E26" s="444" t="s">
        <v>341</v>
      </c>
      <c r="F26" s="444" t="s">
        <v>342</v>
      </c>
      <c r="G26" s="434">
        <f t="shared" si="1"/>
        <v>0.25</v>
      </c>
      <c r="H26" s="437"/>
      <c r="I26" s="437"/>
      <c r="J26" s="437"/>
      <c r="K26" s="437"/>
      <c r="L26" s="438"/>
      <c r="M26" s="439"/>
      <c r="N26" s="440"/>
      <c r="O26" s="441"/>
    </row>
    <row r="27" spans="1:15" s="442" customFormat="1" hidden="1" outlineLevel="1">
      <c r="A27" s="430">
        <v>25</v>
      </c>
      <c r="B27" s="443">
        <v>40696</v>
      </c>
      <c r="C27" s="445">
        <v>40696</v>
      </c>
      <c r="D27" s="446">
        <v>40696.484027777777</v>
      </c>
      <c r="E27" s="444" t="s">
        <v>343</v>
      </c>
      <c r="F27" s="444" t="s">
        <v>344</v>
      </c>
      <c r="G27" s="434">
        <f t="shared" si="1"/>
        <v>0.48402777777664596</v>
      </c>
      <c r="H27" s="437"/>
      <c r="I27" s="437"/>
      <c r="J27" s="437"/>
      <c r="K27" s="437"/>
      <c r="L27" s="438"/>
      <c r="M27" s="439"/>
      <c r="N27" s="440"/>
      <c r="O27" s="441"/>
    </row>
    <row r="28" spans="1:15" s="442" customFormat="1" hidden="1" outlineLevel="1">
      <c r="A28" s="430">
        <v>26</v>
      </c>
      <c r="B28" s="443">
        <v>40700</v>
      </c>
      <c r="C28" s="445">
        <v>40700.695833333331</v>
      </c>
      <c r="D28" s="446">
        <v>40700.8125</v>
      </c>
      <c r="E28" s="444" t="s">
        <v>345</v>
      </c>
      <c r="F28" s="444" t="s">
        <v>346</v>
      </c>
      <c r="G28" s="434">
        <f t="shared" si="1"/>
        <v>0.11666666666860692</v>
      </c>
      <c r="H28" s="437"/>
      <c r="I28" s="437"/>
      <c r="J28" s="437"/>
      <c r="K28" s="437"/>
      <c r="L28" s="438"/>
      <c r="M28" s="439"/>
      <c r="N28" s="440"/>
      <c r="O28" s="441"/>
    </row>
    <row r="29" spans="1:15" s="442" customFormat="1" hidden="1" outlineLevel="1">
      <c r="A29" s="430">
        <v>27</v>
      </c>
      <c r="B29" s="443">
        <v>40719</v>
      </c>
      <c r="C29" s="445">
        <v>40719.61041666667</v>
      </c>
      <c r="D29" s="446">
        <v>40730</v>
      </c>
      <c r="E29" s="444" t="s">
        <v>150</v>
      </c>
      <c r="F29" s="444" t="s">
        <v>347</v>
      </c>
      <c r="G29" s="434">
        <f t="shared" si="1"/>
        <v>10.389583333329938</v>
      </c>
      <c r="H29" s="437"/>
      <c r="I29" s="437"/>
      <c r="J29" s="437"/>
      <c r="K29" s="437"/>
      <c r="L29" s="438"/>
      <c r="M29" s="439"/>
      <c r="N29" s="440"/>
      <c r="O29" s="441"/>
    </row>
    <row r="30" spans="1:15" s="442" customFormat="1" ht="25.5" hidden="1" outlineLevel="1">
      <c r="A30" s="430">
        <v>28</v>
      </c>
      <c r="B30" s="443">
        <v>40731</v>
      </c>
      <c r="C30" s="445">
        <v>40731</v>
      </c>
      <c r="D30" s="446">
        <v>40733.508333333331</v>
      </c>
      <c r="E30" s="444" t="s">
        <v>334</v>
      </c>
      <c r="F30" s="444" t="s">
        <v>348</v>
      </c>
      <c r="G30" s="434">
        <f t="shared" si="1"/>
        <v>2.5083333333313931</v>
      </c>
      <c r="H30" s="437"/>
      <c r="I30" s="437"/>
      <c r="J30" s="437"/>
      <c r="K30" s="437"/>
      <c r="L30" s="438"/>
      <c r="M30" s="439"/>
      <c r="N30" s="440"/>
      <c r="O30" s="441"/>
    </row>
    <row r="31" spans="1:15" s="442" customFormat="1" ht="25.5" hidden="1" outlineLevel="1">
      <c r="A31" s="430">
        <v>29</v>
      </c>
      <c r="B31" s="443">
        <v>40737</v>
      </c>
      <c r="C31" s="445">
        <v>40737.609027777777</v>
      </c>
      <c r="D31" s="445">
        <v>40738.767361111109</v>
      </c>
      <c r="E31" s="444" t="s">
        <v>349</v>
      </c>
      <c r="F31" s="444" t="s">
        <v>350</v>
      </c>
      <c r="G31" s="434">
        <f t="shared" si="1"/>
        <v>1.1583333333328483</v>
      </c>
      <c r="H31" s="437"/>
      <c r="I31" s="437"/>
      <c r="J31" s="437"/>
      <c r="K31" s="437"/>
      <c r="L31" s="438"/>
      <c r="M31" s="439"/>
      <c r="N31" s="440"/>
      <c r="O31" s="441"/>
    </row>
    <row r="32" spans="1:15" s="442" customFormat="1" ht="38.25" hidden="1" outlineLevel="1">
      <c r="A32" s="430">
        <v>30</v>
      </c>
      <c r="B32" s="443">
        <v>40761</v>
      </c>
      <c r="C32" s="445">
        <v>40761</v>
      </c>
      <c r="D32" s="446">
        <v>40761.875</v>
      </c>
      <c r="E32" s="444" t="s">
        <v>351</v>
      </c>
      <c r="F32" s="444" t="s">
        <v>352</v>
      </c>
      <c r="G32" s="434">
        <f t="shared" si="1"/>
        <v>0.875</v>
      </c>
      <c r="H32" s="437"/>
      <c r="I32" s="437"/>
      <c r="J32" s="437"/>
      <c r="K32" s="437"/>
      <c r="L32" s="438"/>
      <c r="M32" s="439"/>
      <c r="N32" s="440"/>
      <c r="O32" s="441"/>
    </row>
    <row r="33" spans="1:15" s="442" customFormat="1" ht="38.25" hidden="1" outlineLevel="1">
      <c r="A33" s="430">
        <v>31</v>
      </c>
      <c r="B33" s="443">
        <v>40762</v>
      </c>
      <c r="C33" s="445">
        <v>40762</v>
      </c>
      <c r="D33" s="446">
        <v>40762.041666666664</v>
      </c>
      <c r="E33" s="444" t="s">
        <v>351</v>
      </c>
      <c r="F33" s="444" t="s">
        <v>352</v>
      </c>
      <c r="G33" s="434">
        <f t="shared" si="1"/>
        <v>4.1666666664241347E-2</v>
      </c>
      <c r="H33" s="437"/>
      <c r="I33" s="437"/>
      <c r="J33" s="437"/>
      <c r="K33" s="437"/>
      <c r="L33" s="438"/>
      <c r="M33" s="439"/>
      <c r="N33" s="440"/>
      <c r="O33" s="441"/>
    </row>
    <row r="34" spans="1:15" s="442" customFormat="1" ht="25.5" hidden="1" outlineLevel="1">
      <c r="A34" s="430">
        <v>32</v>
      </c>
      <c r="B34" s="443">
        <v>40765</v>
      </c>
      <c r="C34" s="445">
        <v>40765.402777777781</v>
      </c>
      <c r="D34" s="446">
        <v>40769.006249999999</v>
      </c>
      <c r="E34" s="444" t="s">
        <v>334</v>
      </c>
      <c r="F34" s="444" t="s">
        <v>348</v>
      </c>
      <c r="G34" s="434">
        <f t="shared" si="1"/>
        <v>3.6034722222175333</v>
      </c>
      <c r="H34" s="437"/>
      <c r="I34" s="437"/>
      <c r="J34" s="437"/>
      <c r="K34" s="437"/>
      <c r="L34" s="438"/>
      <c r="M34" s="439"/>
      <c r="N34" s="440"/>
      <c r="O34" s="441"/>
    </row>
    <row r="35" spans="1:15" s="442" customFormat="1" ht="25.5" hidden="1" outlineLevel="1">
      <c r="A35" s="430">
        <v>33</v>
      </c>
      <c r="B35" s="443">
        <v>40796</v>
      </c>
      <c r="C35" s="445">
        <v>40796.104166666664</v>
      </c>
      <c r="D35" s="446">
        <v>40801.257523148146</v>
      </c>
      <c r="E35" s="444" t="s">
        <v>338</v>
      </c>
      <c r="F35" s="444" t="s">
        <v>353</v>
      </c>
      <c r="G35" s="434">
        <f t="shared" si="1"/>
        <v>5.153356481481751</v>
      </c>
      <c r="H35" s="437"/>
      <c r="I35" s="437"/>
      <c r="J35" s="437"/>
      <c r="K35" s="437"/>
      <c r="L35" s="438"/>
      <c r="M35" s="439"/>
      <c r="N35" s="440"/>
      <c r="O35" s="441"/>
    </row>
    <row r="36" spans="1:15" s="442" customFormat="1" hidden="1" outlineLevel="1">
      <c r="A36" s="430">
        <v>34</v>
      </c>
      <c r="B36" s="443">
        <v>40808</v>
      </c>
      <c r="C36" s="447">
        <v>0.69444444444444453</v>
      </c>
      <c r="D36" s="448">
        <v>0.75694444444444453</v>
      </c>
      <c r="E36" s="444" t="s">
        <v>354</v>
      </c>
      <c r="F36" s="444" t="s">
        <v>355</v>
      </c>
      <c r="G36" s="434">
        <f t="shared" si="1"/>
        <v>6.25E-2</v>
      </c>
      <c r="H36" s="437"/>
      <c r="I36" s="437"/>
      <c r="J36" s="437"/>
      <c r="K36" s="437"/>
      <c r="L36" s="438"/>
      <c r="M36" s="439"/>
      <c r="N36" s="440"/>
      <c r="O36" s="441"/>
    </row>
    <row r="37" spans="1:15" s="442" customFormat="1" ht="45" hidden="1" outlineLevel="1">
      <c r="A37" s="430">
        <v>35</v>
      </c>
      <c r="B37" s="443">
        <v>40820</v>
      </c>
      <c r="C37" s="449">
        <v>40820.416666666664</v>
      </c>
      <c r="D37" s="449">
        <v>40821.125</v>
      </c>
      <c r="E37" s="450" t="s">
        <v>356</v>
      </c>
      <c r="F37" s="451" t="s">
        <v>198</v>
      </c>
      <c r="G37" s="434">
        <f t="shared" si="1"/>
        <v>0.70833333333575865</v>
      </c>
      <c r="H37" s="437"/>
      <c r="I37" s="437"/>
      <c r="J37" s="437"/>
      <c r="K37" s="437"/>
      <c r="L37" s="438"/>
      <c r="M37" s="439"/>
      <c r="N37" s="440"/>
      <c r="O37" s="441"/>
    </row>
    <row r="38" spans="1:15" hidden="1" outlineLevel="1">
      <c r="A38" s="430">
        <f>A37+1</f>
        <v>36</v>
      </c>
      <c r="B38" s="443">
        <v>40853</v>
      </c>
      <c r="C38" s="449">
        <v>40853.572916666664</v>
      </c>
      <c r="D38" s="449">
        <v>40854</v>
      </c>
      <c r="E38" s="450" t="s">
        <v>357</v>
      </c>
      <c r="F38" s="451" t="s">
        <v>256</v>
      </c>
      <c r="G38" s="434">
        <f t="shared" si="1"/>
        <v>0.42708333333575865</v>
      </c>
      <c r="H38" s="435"/>
      <c r="I38" s="435"/>
      <c r="J38" s="435"/>
      <c r="K38" s="435"/>
      <c r="L38" s="428"/>
    </row>
    <row r="39" spans="1:15" hidden="1" outlineLevel="1">
      <c r="A39" s="430">
        <f t="shared" ref="A39:A70" si="2">A38+1</f>
        <v>37</v>
      </c>
      <c r="B39" s="443">
        <v>40864</v>
      </c>
      <c r="C39" s="449">
        <v>40864.5625</v>
      </c>
      <c r="D39" s="449">
        <v>40865</v>
      </c>
      <c r="E39" s="450" t="s">
        <v>326</v>
      </c>
      <c r="F39" s="451" t="s">
        <v>257</v>
      </c>
      <c r="G39" s="434">
        <f t="shared" si="1"/>
        <v>0.4375</v>
      </c>
      <c r="H39" s="435"/>
      <c r="I39" s="435"/>
      <c r="J39" s="435"/>
      <c r="K39" s="435"/>
      <c r="L39" s="428"/>
    </row>
    <row r="40" spans="1:15" hidden="1" outlineLevel="1">
      <c r="A40" s="430">
        <f t="shared" si="2"/>
        <v>38</v>
      </c>
      <c r="B40" s="443">
        <v>40865</v>
      </c>
      <c r="C40" s="452">
        <v>0</v>
      </c>
      <c r="D40" s="452">
        <v>0.21875</v>
      </c>
      <c r="E40" s="450" t="s">
        <v>326</v>
      </c>
      <c r="F40" s="451" t="s">
        <v>257</v>
      </c>
      <c r="G40" s="434">
        <f t="shared" si="1"/>
        <v>0.21875</v>
      </c>
      <c r="H40" s="435"/>
      <c r="I40" s="435"/>
      <c r="J40" s="435"/>
      <c r="K40" s="435"/>
      <c r="L40" s="428"/>
      <c r="N40" s="425"/>
    </row>
    <row r="41" spans="1:15" hidden="1" outlineLevel="1">
      <c r="A41" s="430">
        <f t="shared" si="2"/>
        <v>39</v>
      </c>
      <c r="B41" s="443">
        <v>40890</v>
      </c>
      <c r="C41" s="449">
        <v>40890.032638888886</v>
      </c>
      <c r="D41" s="449">
        <v>40891</v>
      </c>
      <c r="E41" s="450" t="s">
        <v>358</v>
      </c>
      <c r="F41" s="453" t="s">
        <v>258</v>
      </c>
      <c r="G41" s="434">
        <f t="shared" si="1"/>
        <v>0.96736111111385981</v>
      </c>
      <c r="H41" s="435"/>
      <c r="I41" s="435"/>
      <c r="J41" s="435"/>
      <c r="K41" s="435"/>
      <c r="L41" s="428"/>
      <c r="N41" s="425"/>
    </row>
    <row r="42" spans="1:15" hidden="1" outlineLevel="1">
      <c r="A42" s="430">
        <f t="shared" si="2"/>
        <v>40</v>
      </c>
      <c r="B42" s="443">
        <v>40891</v>
      </c>
      <c r="C42" s="449">
        <v>40891</v>
      </c>
      <c r="D42" s="449">
        <v>40909</v>
      </c>
      <c r="E42" s="450" t="s">
        <v>358</v>
      </c>
      <c r="F42" s="453" t="s">
        <v>258</v>
      </c>
      <c r="G42" s="434">
        <f t="shared" si="1"/>
        <v>18</v>
      </c>
      <c r="H42" s="435"/>
      <c r="I42" s="435"/>
      <c r="J42" s="435"/>
      <c r="K42" s="435"/>
      <c r="L42" s="428"/>
      <c r="N42" s="425"/>
    </row>
    <row r="43" spans="1:15" collapsed="1">
      <c r="A43" s="454">
        <f t="shared" si="2"/>
        <v>41</v>
      </c>
      <c r="B43" s="455">
        <v>40909</v>
      </c>
      <c r="C43" s="456">
        <v>40909</v>
      </c>
      <c r="D43" s="456">
        <v>40924.224305555559</v>
      </c>
      <c r="E43" s="457" t="s">
        <v>358</v>
      </c>
      <c r="F43" s="458" t="s">
        <v>258</v>
      </c>
      <c r="G43" s="459">
        <f t="shared" si="1"/>
        <v>15.224305555559113</v>
      </c>
      <c r="H43" s="428" t="s">
        <v>259</v>
      </c>
      <c r="I43" s="428" t="s">
        <v>259</v>
      </c>
      <c r="J43" s="428" t="s">
        <v>260</v>
      </c>
      <c r="K43" s="428" t="s">
        <v>261</v>
      </c>
      <c r="L43" s="428"/>
      <c r="M43" s="429">
        <f>SUM(G43:G44)</f>
        <v>15.672916666670062</v>
      </c>
      <c r="N43" s="425">
        <f>376/24</f>
        <v>15.666666666666666</v>
      </c>
    </row>
    <row r="44" spans="1:15" ht="22.5">
      <c r="A44" s="454">
        <f t="shared" si="2"/>
        <v>42</v>
      </c>
      <c r="B44" s="455">
        <v>40927</v>
      </c>
      <c r="C44" s="456">
        <v>40927.755555555559</v>
      </c>
      <c r="D44" s="456">
        <v>40928.20416666667</v>
      </c>
      <c r="E44" s="457" t="s">
        <v>358</v>
      </c>
      <c r="F44" s="458" t="s">
        <v>262</v>
      </c>
      <c r="G44" s="459">
        <f t="shared" si="1"/>
        <v>0.44861111111094942</v>
      </c>
      <c r="H44" s="428" t="s">
        <v>260</v>
      </c>
      <c r="I44" s="428" t="s">
        <v>259</v>
      </c>
      <c r="J44" s="428" t="s">
        <v>260</v>
      </c>
      <c r="K44" s="428" t="s">
        <v>261</v>
      </c>
      <c r="L44" s="428" t="s">
        <v>263</v>
      </c>
      <c r="N44" s="425"/>
    </row>
    <row r="45" spans="1:15">
      <c r="A45" s="454">
        <f t="shared" si="2"/>
        <v>43</v>
      </c>
      <c r="B45" s="455">
        <v>40930</v>
      </c>
      <c r="C45" s="456">
        <v>40961.23333333333</v>
      </c>
      <c r="D45" s="456">
        <v>40961.324999999997</v>
      </c>
      <c r="E45" s="457" t="s">
        <v>149</v>
      </c>
      <c r="F45" s="458" t="s">
        <v>264</v>
      </c>
      <c r="G45" s="460">
        <f t="shared" si="1"/>
        <v>9.1666666667151731E-2</v>
      </c>
      <c r="H45" s="428"/>
      <c r="I45" s="428"/>
      <c r="J45" s="428"/>
      <c r="K45" s="428"/>
      <c r="L45" s="428" t="s">
        <v>265</v>
      </c>
      <c r="N45" s="425"/>
    </row>
    <row r="46" spans="1:15">
      <c r="A46" s="454">
        <f t="shared" si="2"/>
        <v>44</v>
      </c>
      <c r="B46" s="455">
        <v>40939</v>
      </c>
      <c r="C46" s="456">
        <v>40939.232638888891</v>
      </c>
      <c r="D46" s="456">
        <v>40940</v>
      </c>
      <c r="E46" s="457" t="s">
        <v>349</v>
      </c>
      <c r="F46" s="458" t="s">
        <v>217</v>
      </c>
      <c r="G46" s="459">
        <f t="shared" si="1"/>
        <v>0.76736111110949423</v>
      </c>
      <c r="H46" s="428" t="s">
        <v>260</v>
      </c>
      <c r="I46" s="428" t="s">
        <v>259</v>
      </c>
      <c r="J46" s="428" t="s">
        <v>260</v>
      </c>
      <c r="K46" s="428" t="s">
        <v>261</v>
      </c>
      <c r="L46" s="426" t="s">
        <v>266</v>
      </c>
      <c r="M46" s="429">
        <f>SUM(G46:G47)</f>
        <v>1.8145833333328483</v>
      </c>
      <c r="N46" s="425">
        <f>43/24</f>
        <v>1.7916666666666667</v>
      </c>
    </row>
    <row r="47" spans="1:15" ht="12.75" customHeight="1">
      <c r="A47" s="454">
        <f t="shared" si="2"/>
        <v>45</v>
      </c>
      <c r="B47" s="461">
        <v>40940</v>
      </c>
      <c r="C47" s="456">
        <v>40940</v>
      </c>
      <c r="D47" s="456">
        <v>40941.047222222223</v>
      </c>
      <c r="E47" s="457" t="s">
        <v>349</v>
      </c>
      <c r="F47" s="458" t="s">
        <v>217</v>
      </c>
      <c r="G47" s="459">
        <f t="shared" si="1"/>
        <v>1.047222222223354</v>
      </c>
      <c r="H47" s="428"/>
      <c r="I47" s="428"/>
      <c r="J47" s="428"/>
      <c r="K47" s="428"/>
      <c r="L47" s="428"/>
      <c r="N47" s="425"/>
    </row>
    <row r="48" spans="1:15" ht="22.5">
      <c r="A48" s="454">
        <f t="shared" si="2"/>
        <v>46</v>
      </c>
      <c r="B48" s="461">
        <v>40941</v>
      </c>
      <c r="C48" s="456">
        <v>40941.047222222223</v>
      </c>
      <c r="D48" s="456">
        <v>40954.084027777775</v>
      </c>
      <c r="E48" s="457" t="s">
        <v>254</v>
      </c>
      <c r="F48" s="458" t="s">
        <v>218</v>
      </c>
      <c r="G48" s="459">
        <f t="shared" si="1"/>
        <v>13.036805555551837</v>
      </c>
      <c r="H48" s="428"/>
      <c r="I48" s="428"/>
      <c r="J48" s="428"/>
      <c r="K48" s="428"/>
      <c r="L48" s="428" t="s">
        <v>267</v>
      </c>
      <c r="N48" s="425"/>
    </row>
    <row r="49" spans="1:14">
      <c r="A49" s="454">
        <f t="shared" si="2"/>
        <v>47</v>
      </c>
      <c r="B49" s="461">
        <v>40954</v>
      </c>
      <c r="C49" s="456">
        <v>40954.199999999997</v>
      </c>
      <c r="D49" s="456">
        <v>40963.786805555559</v>
      </c>
      <c r="E49" s="457" t="s">
        <v>268</v>
      </c>
      <c r="F49" s="458" t="s">
        <v>219</v>
      </c>
      <c r="G49" s="459">
        <f t="shared" si="1"/>
        <v>9.5868055555620231</v>
      </c>
      <c r="H49" s="428"/>
      <c r="I49" s="428"/>
      <c r="J49" s="428"/>
      <c r="K49" s="428"/>
      <c r="L49" s="428"/>
      <c r="N49" s="425"/>
    </row>
    <row r="50" spans="1:14">
      <c r="A50" s="454">
        <f t="shared" si="2"/>
        <v>48</v>
      </c>
      <c r="B50" s="461">
        <v>40967</v>
      </c>
      <c r="C50" s="456">
        <v>40967.272222222222</v>
      </c>
      <c r="D50" s="456">
        <v>40968.715277777781</v>
      </c>
      <c r="E50" s="462" t="s">
        <v>151</v>
      </c>
      <c r="F50" s="458" t="s">
        <v>220</v>
      </c>
      <c r="G50" s="459">
        <f t="shared" si="1"/>
        <v>1.4430555555591127</v>
      </c>
      <c r="H50" s="428"/>
      <c r="I50" s="428"/>
      <c r="J50" s="428"/>
      <c r="K50" s="428"/>
      <c r="L50" s="428" t="s">
        <v>269</v>
      </c>
      <c r="N50" s="425"/>
    </row>
    <row r="51" spans="1:14">
      <c r="A51" s="454">
        <f t="shared" si="2"/>
        <v>49</v>
      </c>
      <c r="B51" s="461">
        <v>40979</v>
      </c>
      <c r="C51" s="463">
        <v>40979.036111111112</v>
      </c>
      <c r="D51" s="456">
        <v>41000</v>
      </c>
      <c r="E51" s="462" t="s">
        <v>338</v>
      </c>
      <c r="F51" s="464" t="s">
        <v>270</v>
      </c>
      <c r="G51" s="465">
        <f t="shared" si="1"/>
        <v>20.963888888887595</v>
      </c>
      <c r="H51" s="428"/>
      <c r="I51" s="428"/>
      <c r="J51" s="428"/>
      <c r="K51" s="428"/>
      <c r="L51" s="428"/>
      <c r="N51" s="425"/>
    </row>
    <row r="52" spans="1:14">
      <c r="A52" s="454">
        <f t="shared" si="2"/>
        <v>50</v>
      </c>
      <c r="B52" s="461">
        <v>41000</v>
      </c>
      <c r="C52" s="456">
        <v>41000</v>
      </c>
      <c r="D52" s="463">
        <v>41014.912499999999</v>
      </c>
      <c r="E52" s="462" t="s">
        <v>338</v>
      </c>
      <c r="F52" s="464" t="s">
        <v>270</v>
      </c>
      <c r="G52" s="465">
        <f t="shared" si="1"/>
        <v>14.912499999998545</v>
      </c>
      <c r="H52" s="428"/>
      <c r="I52" s="428" t="s">
        <v>260</v>
      </c>
      <c r="J52" s="428"/>
      <c r="K52" s="428"/>
      <c r="L52" s="428"/>
      <c r="N52" s="425"/>
    </row>
    <row r="53" spans="1:14">
      <c r="A53" s="454">
        <f t="shared" si="2"/>
        <v>51</v>
      </c>
      <c r="B53" s="461">
        <v>41008</v>
      </c>
      <c r="C53" s="456">
        <v>41008.44027777778</v>
      </c>
      <c r="D53" s="456">
        <v>41009.44027777778</v>
      </c>
      <c r="E53" s="457" t="s">
        <v>349</v>
      </c>
      <c r="F53" s="458" t="s">
        <v>217</v>
      </c>
      <c r="G53" s="459">
        <f t="shared" si="1"/>
        <v>1</v>
      </c>
      <c r="H53" s="428" t="s">
        <v>260</v>
      </c>
      <c r="I53" s="428" t="s">
        <v>259</v>
      </c>
      <c r="J53" s="428" t="s">
        <v>260</v>
      </c>
      <c r="K53" s="428" t="s">
        <v>261</v>
      </c>
      <c r="L53" s="428" t="s">
        <v>271</v>
      </c>
      <c r="N53" s="425"/>
    </row>
    <row r="54" spans="1:14">
      <c r="A54" s="454">
        <f t="shared" si="2"/>
        <v>52</v>
      </c>
      <c r="B54" s="461">
        <v>41011</v>
      </c>
      <c r="C54" s="456">
        <v>41011.875</v>
      </c>
      <c r="D54" s="456">
        <v>41013.642361111109</v>
      </c>
      <c r="E54" s="462" t="s">
        <v>236</v>
      </c>
      <c r="F54" s="458" t="s">
        <v>221</v>
      </c>
      <c r="G54" s="466">
        <v>0.87916666666666676</v>
      </c>
      <c r="H54" s="428" t="s">
        <v>260</v>
      </c>
      <c r="I54" s="428" t="s">
        <v>259</v>
      </c>
      <c r="J54" s="428" t="s">
        <v>260</v>
      </c>
      <c r="K54" s="428" t="s">
        <v>272</v>
      </c>
      <c r="L54" s="428" t="s">
        <v>273</v>
      </c>
      <c r="N54" s="425"/>
    </row>
    <row r="55" spans="1:14">
      <c r="A55" s="454">
        <f t="shared" si="2"/>
        <v>53</v>
      </c>
      <c r="B55" s="461">
        <v>41030</v>
      </c>
      <c r="C55" s="456">
        <v>41030.273611111108</v>
      </c>
      <c r="D55" s="456">
        <v>41030.283333333333</v>
      </c>
      <c r="E55" s="462" t="s">
        <v>237</v>
      </c>
      <c r="F55" s="458" t="s">
        <v>233</v>
      </c>
      <c r="G55" s="467">
        <f>D55-C55</f>
        <v>9.7222222248092294E-3</v>
      </c>
      <c r="H55" s="428"/>
      <c r="I55" s="428"/>
      <c r="J55" s="428"/>
      <c r="K55" s="428"/>
      <c r="L55" s="428" t="s">
        <v>274</v>
      </c>
      <c r="N55" s="425"/>
    </row>
    <row r="56" spans="1:14" ht="22.5">
      <c r="A56" s="454">
        <f t="shared" si="2"/>
        <v>54</v>
      </c>
      <c r="B56" s="461">
        <v>41032</v>
      </c>
      <c r="C56" s="456">
        <v>41032.94027777778</v>
      </c>
      <c r="D56" s="456">
        <v>41036.692361111112</v>
      </c>
      <c r="E56" s="462" t="s">
        <v>150</v>
      </c>
      <c r="F56" s="458" t="s">
        <v>234</v>
      </c>
      <c r="G56" s="459">
        <f t="shared" si="1"/>
        <v>3.7520833333328483</v>
      </c>
      <c r="H56" s="428" t="s">
        <v>260</v>
      </c>
      <c r="I56" s="428"/>
      <c r="J56" s="428" t="s">
        <v>260</v>
      </c>
      <c r="K56" s="428" t="s">
        <v>272</v>
      </c>
      <c r="L56" s="428"/>
      <c r="N56" s="425"/>
    </row>
    <row r="57" spans="1:14">
      <c r="A57" s="454">
        <f t="shared" si="2"/>
        <v>55</v>
      </c>
      <c r="B57" s="461">
        <v>41060</v>
      </c>
      <c r="C57" s="456">
        <v>41060.541666666664</v>
      </c>
      <c r="D57" s="456">
        <v>41060.5625</v>
      </c>
      <c r="E57" s="462" t="s">
        <v>152</v>
      </c>
      <c r="F57" s="458" t="s">
        <v>235</v>
      </c>
      <c r="G57" s="468">
        <f t="shared" si="1"/>
        <v>2.0833333335758653E-2</v>
      </c>
      <c r="H57" s="428" t="s">
        <v>260</v>
      </c>
      <c r="I57" s="428" t="s">
        <v>259</v>
      </c>
      <c r="J57" s="428" t="s">
        <v>260</v>
      </c>
      <c r="K57" s="428" t="s">
        <v>272</v>
      </c>
      <c r="L57" s="428" t="s">
        <v>275</v>
      </c>
      <c r="N57" s="425"/>
    </row>
    <row r="58" spans="1:14">
      <c r="A58" s="454">
        <f t="shared" si="2"/>
        <v>56</v>
      </c>
      <c r="B58" s="461">
        <v>41061</v>
      </c>
      <c r="C58" s="456">
        <v>41061.768750000003</v>
      </c>
      <c r="D58" s="456">
        <v>41062.136805555558</v>
      </c>
      <c r="E58" s="462" t="s">
        <v>254</v>
      </c>
      <c r="F58" s="458" t="s">
        <v>276</v>
      </c>
      <c r="G58" s="459">
        <f t="shared" si="1"/>
        <v>0.36805555555474712</v>
      </c>
      <c r="H58" s="428" t="s">
        <v>260</v>
      </c>
      <c r="I58" s="428" t="s">
        <v>259</v>
      </c>
      <c r="J58" s="428" t="s">
        <v>260</v>
      </c>
      <c r="K58" s="428" t="s">
        <v>272</v>
      </c>
      <c r="L58" s="428" t="s">
        <v>277</v>
      </c>
      <c r="N58" s="425"/>
    </row>
    <row r="59" spans="1:14" ht="22.5">
      <c r="A59" s="454">
        <f t="shared" si="2"/>
        <v>57</v>
      </c>
      <c r="B59" s="461">
        <v>41062</v>
      </c>
      <c r="C59" s="456">
        <v>41062.568749999999</v>
      </c>
      <c r="D59" s="456">
        <v>41062.582638888889</v>
      </c>
      <c r="E59" s="462" t="s">
        <v>149</v>
      </c>
      <c r="F59" s="458" t="s">
        <v>278</v>
      </c>
      <c r="G59" s="468">
        <f t="shared" si="1"/>
        <v>1.3888888890505768E-2</v>
      </c>
      <c r="H59" s="428"/>
      <c r="I59" s="428"/>
      <c r="J59" s="428"/>
      <c r="K59" s="428"/>
      <c r="L59" s="428" t="s">
        <v>275</v>
      </c>
      <c r="N59" s="425"/>
    </row>
    <row r="60" spans="1:14" ht="45">
      <c r="A60" s="454">
        <f t="shared" si="2"/>
        <v>58</v>
      </c>
      <c r="B60" s="461">
        <v>41076</v>
      </c>
      <c r="C60" s="456">
        <v>41076.243055555555</v>
      </c>
      <c r="D60" s="456">
        <v>41076.270833333336</v>
      </c>
      <c r="E60" s="462" t="s">
        <v>279</v>
      </c>
      <c r="F60" s="458" t="s">
        <v>280</v>
      </c>
      <c r="G60" s="468">
        <f t="shared" si="1"/>
        <v>2.7777777781011537E-2</v>
      </c>
      <c r="H60" s="428"/>
      <c r="I60" s="428" t="s">
        <v>259</v>
      </c>
      <c r="J60" s="428" t="s">
        <v>260</v>
      </c>
      <c r="K60" s="428" t="s">
        <v>272</v>
      </c>
      <c r="L60" s="428" t="s">
        <v>275</v>
      </c>
      <c r="N60" s="425"/>
    </row>
    <row r="61" spans="1:14" ht="33.75">
      <c r="A61" s="454">
        <f t="shared" si="2"/>
        <v>59</v>
      </c>
      <c r="B61" s="461">
        <v>41079</v>
      </c>
      <c r="C61" s="456">
        <v>41079.365972222222</v>
      </c>
      <c r="D61" s="456">
        <v>41079.369444444441</v>
      </c>
      <c r="E61" s="462" t="s">
        <v>281</v>
      </c>
      <c r="F61" s="458" t="s">
        <v>282</v>
      </c>
      <c r="G61" s="468">
        <f t="shared" si="1"/>
        <v>3.4722222189884633E-3</v>
      </c>
      <c r="H61" s="428"/>
      <c r="I61" s="428"/>
      <c r="J61" s="428"/>
      <c r="K61" s="428"/>
      <c r="L61" s="428" t="s">
        <v>275</v>
      </c>
      <c r="N61" s="425"/>
    </row>
    <row r="62" spans="1:14" ht="22.5">
      <c r="A62" s="454">
        <f t="shared" si="2"/>
        <v>60</v>
      </c>
      <c r="B62" s="461">
        <v>41084</v>
      </c>
      <c r="C62" s="456">
        <v>41084.744444444441</v>
      </c>
      <c r="D62" s="456">
        <v>41084.887499999997</v>
      </c>
      <c r="E62" s="462" t="s">
        <v>326</v>
      </c>
      <c r="F62" s="458" t="s">
        <v>283</v>
      </c>
      <c r="G62" s="469">
        <f t="shared" si="1"/>
        <v>0.14305555555620231</v>
      </c>
      <c r="H62" s="428"/>
      <c r="I62" s="428"/>
      <c r="J62" s="428"/>
      <c r="K62" s="428"/>
      <c r="L62" s="428" t="s">
        <v>275</v>
      </c>
      <c r="N62" s="425"/>
    </row>
    <row r="63" spans="1:14" ht="38.25" customHeight="1">
      <c r="A63" s="454">
        <f t="shared" si="2"/>
        <v>61</v>
      </c>
      <c r="B63" s="461">
        <v>41085</v>
      </c>
      <c r="C63" s="456">
        <v>41085.132638888892</v>
      </c>
      <c r="D63" s="456">
        <v>41085.834027777775</v>
      </c>
      <c r="E63" s="462" t="s">
        <v>279</v>
      </c>
      <c r="F63" s="458" t="s">
        <v>359</v>
      </c>
      <c r="G63" s="470">
        <f t="shared" si="1"/>
        <v>0.70138888888322981</v>
      </c>
      <c r="H63" s="428" t="s">
        <v>260</v>
      </c>
      <c r="I63" s="428" t="s">
        <v>259</v>
      </c>
      <c r="J63" s="428" t="s">
        <v>260</v>
      </c>
      <c r="K63" s="428" t="s">
        <v>272</v>
      </c>
      <c r="L63" s="428" t="s">
        <v>277</v>
      </c>
      <c r="N63" s="425"/>
    </row>
    <row r="64" spans="1:14" ht="22.5">
      <c r="A64" s="454">
        <f t="shared" si="2"/>
        <v>62</v>
      </c>
      <c r="B64" s="461">
        <v>41086</v>
      </c>
      <c r="C64" s="456">
        <v>41086.786805555559</v>
      </c>
      <c r="D64" s="456">
        <v>41091</v>
      </c>
      <c r="E64" s="462" t="s">
        <v>152</v>
      </c>
      <c r="F64" s="458" t="s">
        <v>360</v>
      </c>
      <c r="G64" s="470">
        <f t="shared" si="1"/>
        <v>4.2131944444408873</v>
      </c>
      <c r="H64" s="428" t="s">
        <v>260</v>
      </c>
      <c r="I64" s="428" t="s">
        <v>259</v>
      </c>
      <c r="J64" s="428" t="s">
        <v>260</v>
      </c>
      <c r="K64" s="428" t="s">
        <v>272</v>
      </c>
      <c r="L64" s="428" t="s">
        <v>277</v>
      </c>
      <c r="N64" s="425"/>
    </row>
    <row r="65" spans="1:15">
      <c r="A65" s="454">
        <f t="shared" si="2"/>
        <v>63</v>
      </c>
      <c r="B65" s="461">
        <v>41091</v>
      </c>
      <c r="C65" s="456">
        <v>41091.000694444447</v>
      </c>
      <c r="D65" s="456">
        <v>41097.291666666664</v>
      </c>
      <c r="E65" s="462" t="s">
        <v>152</v>
      </c>
      <c r="F65" s="458" t="s">
        <v>287</v>
      </c>
      <c r="G65" s="470">
        <f>D65-C65</f>
        <v>6.2909722222175333</v>
      </c>
      <c r="H65" s="428" t="s">
        <v>260</v>
      </c>
      <c r="I65" s="428" t="s">
        <v>259</v>
      </c>
      <c r="J65" s="428" t="s">
        <v>260</v>
      </c>
      <c r="K65" s="428" t="s">
        <v>272</v>
      </c>
      <c r="L65" s="428"/>
      <c r="N65" s="425"/>
    </row>
    <row r="66" spans="1:15">
      <c r="A66" s="454">
        <f t="shared" si="2"/>
        <v>64</v>
      </c>
      <c r="B66" s="461">
        <v>41092</v>
      </c>
      <c r="C66" s="456">
        <v>41092.631944444445</v>
      </c>
      <c r="D66" s="456">
        <v>41094.631944444445</v>
      </c>
      <c r="E66" s="462" t="s">
        <v>361</v>
      </c>
      <c r="F66" s="458" t="s">
        <v>362</v>
      </c>
      <c r="G66" s="469">
        <f t="shared" si="1"/>
        <v>2</v>
      </c>
      <c r="H66" s="428"/>
      <c r="I66" s="428"/>
      <c r="J66" s="428"/>
      <c r="K66" s="428"/>
      <c r="L66" s="428"/>
      <c r="N66" s="425"/>
    </row>
    <row r="67" spans="1:15" ht="25.5">
      <c r="A67" s="454">
        <f t="shared" si="2"/>
        <v>65</v>
      </c>
      <c r="B67" s="461">
        <v>41094</v>
      </c>
      <c r="C67" s="456">
        <v>41094.631944444445</v>
      </c>
      <c r="D67" s="456">
        <v>41097.489583333336</v>
      </c>
      <c r="E67" s="462" t="s">
        <v>363</v>
      </c>
      <c r="F67" s="458" t="s">
        <v>364</v>
      </c>
      <c r="G67" s="469">
        <f t="shared" si="1"/>
        <v>2.8576388888905058</v>
      </c>
      <c r="H67" s="428"/>
      <c r="I67" s="428"/>
      <c r="J67" s="428"/>
      <c r="K67" s="428"/>
      <c r="L67" s="428"/>
      <c r="N67" s="425"/>
    </row>
    <row r="68" spans="1:15">
      <c r="A68" s="454">
        <f t="shared" si="2"/>
        <v>66</v>
      </c>
      <c r="B68" s="461">
        <v>41099</v>
      </c>
      <c r="C68" s="456">
        <v>41099.407638888886</v>
      </c>
      <c r="D68" s="456">
        <v>41102.333333333336</v>
      </c>
      <c r="E68" s="462" t="s">
        <v>288</v>
      </c>
      <c r="F68" s="458" t="s">
        <v>289</v>
      </c>
      <c r="G68" s="470">
        <f t="shared" si="1"/>
        <v>2.9256944444496185</v>
      </c>
      <c r="H68" s="428" t="s">
        <v>260</v>
      </c>
      <c r="I68" s="428" t="s">
        <v>259</v>
      </c>
      <c r="J68" s="428" t="s">
        <v>260</v>
      </c>
      <c r="K68" s="428" t="s">
        <v>272</v>
      </c>
      <c r="L68" s="428"/>
      <c r="N68" s="425"/>
    </row>
    <row r="69" spans="1:15" ht="22.5">
      <c r="A69" s="454">
        <f t="shared" si="2"/>
        <v>67</v>
      </c>
      <c r="B69" s="461">
        <v>41189</v>
      </c>
      <c r="C69" s="456">
        <v>41189.954861111109</v>
      </c>
      <c r="D69" s="456">
        <v>41194.631249999999</v>
      </c>
      <c r="E69" s="462"/>
      <c r="F69" s="458" t="s">
        <v>310</v>
      </c>
      <c r="G69" s="470">
        <f t="shared" si="1"/>
        <v>4.6763888888890506</v>
      </c>
      <c r="H69" s="428"/>
      <c r="I69" s="428"/>
      <c r="J69" s="428"/>
      <c r="K69" s="428"/>
      <c r="L69" s="428"/>
      <c r="N69" s="425"/>
    </row>
    <row r="70" spans="1:15" ht="22.5">
      <c r="A70" s="454">
        <f t="shared" si="2"/>
        <v>68</v>
      </c>
      <c r="B70" s="461">
        <v>41211</v>
      </c>
      <c r="C70" s="456">
        <v>41211.94027777778</v>
      </c>
      <c r="D70" s="456">
        <v>41214</v>
      </c>
      <c r="E70" s="462"/>
      <c r="F70" s="458" t="s">
        <v>311</v>
      </c>
      <c r="G70" s="470">
        <f t="shared" si="1"/>
        <v>2.0597222222204437</v>
      </c>
      <c r="H70" s="428"/>
      <c r="I70" s="428"/>
      <c r="J70" s="428"/>
      <c r="K70" s="428"/>
      <c r="L70" s="428"/>
      <c r="N70" s="425"/>
    </row>
    <row r="71" spans="1:15">
      <c r="A71" s="454">
        <v>69</v>
      </c>
      <c r="B71" s="461">
        <v>41214</v>
      </c>
      <c r="C71" s="456">
        <v>41214.000011574077</v>
      </c>
      <c r="D71" s="456">
        <v>41223.640277777777</v>
      </c>
      <c r="E71" s="462"/>
      <c r="F71" s="458" t="s">
        <v>312</v>
      </c>
      <c r="G71" s="470">
        <v>9.6402662036998663</v>
      </c>
      <c r="H71" s="428"/>
      <c r="I71" s="428"/>
      <c r="J71" s="428"/>
      <c r="K71" s="428"/>
      <c r="L71" s="428"/>
      <c r="N71" s="425"/>
    </row>
    <row r="72" spans="1:15">
      <c r="A72" s="454">
        <v>70</v>
      </c>
      <c r="B72" s="461">
        <v>41308</v>
      </c>
      <c r="C72" s="456">
        <v>41308.996527777781</v>
      </c>
      <c r="D72" s="471">
        <v>41310.800983796296</v>
      </c>
      <c r="E72" s="462" t="s">
        <v>369</v>
      </c>
      <c r="F72" s="458" t="s">
        <v>370</v>
      </c>
      <c r="G72" s="472">
        <f t="shared" ref="G72:G77" si="3">D72-C72</f>
        <v>1.8044560185153387</v>
      </c>
      <c r="H72" s="428" t="s">
        <v>260</v>
      </c>
      <c r="I72" s="428" t="s">
        <v>259</v>
      </c>
      <c r="J72" s="428" t="s">
        <v>260</v>
      </c>
      <c r="K72" s="428" t="s">
        <v>272</v>
      </c>
      <c r="L72" s="428"/>
      <c r="N72" s="425"/>
    </row>
    <row r="73" spans="1:15">
      <c r="A73" s="454">
        <v>71</v>
      </c>
      <c r="B73" s="461">
        <v>41315</v>
      </c>
      <c r="C73" s="456">
        <v>41315.998611111114</v>
      </c>
      <c r="D73" s="471">
        <v>41333.334722222222</v>
      </c>
      <c r="E73" s="462"/>
      <c r="F73" s="458" t="s">
        <v>338</v>
      </c>
      <c r="G73" s="472">
        <f t="shared" si="3"/>
        <v>17.336111111108039</v>
      </c>
      <c r="H73" s="428" t="s">
        <v>259</v>
      </c>
      <c r="I73" s="428" t="s">
        <v>260</v>
      </c>
      <c r="J73" s="428" t="s">
        <v>260</v>
      </c>
      <c r="K73" s="428" t="s">
        <v>272</v>
      </c>
      <c r="L73" s="428"/>
      <c r="N73" s="425"/>
    </row>
    <row r="74" spans="1:15" ht="33.75">
      <c r="A74" s="454">
        <v>72</v>
      </c>
      <c r="B74" s="461">
        <v>41342</v>
      </c>
      <c r="C74" s="481">
        <v>41342.415277777778</v>
      </c>
      <c r="D74" s="481">
        <v>41342.552083333336</v>
      </c>
      <c r="E74" s="462"/>
      <c r="F74" s="458" t="s">
        <v>371</v>
      </c>
      <c r="G74" s="469">
        <f>D74-C74</f>
        <v>0.1368055555576575</v>
      </c>
      <c r="H74" s="428" t="s">
        <v>259</v>
      </c>
      <c r="I74" s="428" t="s">
        <v>259</v>
      </c>
      <c r="J74" s="428" t="s">
        <v>260</v>
      </c>
      <c r="K74" s="428" t="s">
        <v>272</v>
      </c>
      <c r="L74" s="428"/>
      <c r="N74" s="425"/>
      <c r="O74" s="425">
        <f>19.665*(HOUR(G74)+MINUTE(G74)/60)</f>
        <v>64.566749999999999</v>
      </c>
    </row>
    <row r="75" spans="1:15">
      <c r="A75" s="454">
        <v>73</v>
      </c>
      <c r="B75" s="461">
        <v>41343</v>
      </c>
      <c r="C75" s="473">
        <v>41343.449305555558</v>
      </c>
      <c r="D75" s="474">
        <v>41344.326388888891</v>
      </c>
      <c r="E75" s="462"/>
      <c r="F75" s="458" t="s">
        <v>372</v>
      </c>
      <c r="G75" s="472">
        <f t="shared" si="3"/>
        <v>0.87708333333284827</v>
      </c>
      <c r="H75" s="428" t="s">
        <v>260</v>
      </c>
      <c r="I75" s="428" t="s">
        <v>259</v>
      </c>
      <c r="J75" s="428" t="s">
        <v>260</v>
      </c>
      <c r="K75" s="428" t="s">
        <v>261</v>
      </c>
      <c r="L75" s="428"/>
      <c r="N75" s="425"/>
      <c r="O75" s="425">
        <f>19.665*(HOUR(G75)+MINUTE(G75)/60)</f>
        <v>413.94824999999997</v>
      </c>
    </row>
    <row r="76" spans="1:15">
      <c r="A76" s="454">
        <v>74</v>
      </c>
      <c r="B76" s="461">
        <v>41346</v>
      </c>
      <c r="C76" s="473">
        <v>41346.875</v>
      </c>
      <c r="D76" s="473">
        <v>41355.256249999999</v>
      </c>
      <c r="E76" s="462" t="s">
        <v>373</v>
      </c>
      <c r="F76" s="458" t="s">
        <v>374</v>
      </c>
      <c r="G76" s="472">
        <f t="shared" si="3"/>
        <v>8.3812499999985448</v>
      </c>
      <c r="H76" s="428" t="s">
        <v>260</v>
      </c>
      <c r="I76" s="428" t="s">
        <v>259</v>
      </c>
      <c r="J76" s="428" t="s">
        <v>260</v>
      </c>
      <c r="K76" s="428" t="s">
        <v>272</v>
      </c>
      <c r="L76" s="428"/>
      <c r="N76" s="425"/>
    </row>
    <row r="77" spans="1:15" ht="15">
      <c r="A77" s="545">
        <v>75</v>
      </c>
      <c r="B77" s="546">
        <v>41589</v>
      </c>
      <c r="C77" s="550">
        <v>41589.382638888892</v>
      </c>
      <c r="D77" s="550">
        <v>41594.916666666664</v>
      </c>
      <c r="E77" s="547"/>
      <c r="F77" s="548" t="s">
        <v>398</v>
      </c>
      <c r="G77" s="472">
        <f t="shared" si="3"/>
        <v>5.5340277777722804</v>
      </c>
      <c r="H77" s="549"/>
      <c r="I77" s="549" t="s">
        <v>260</v>
      </c>
      <c r="J77" s="549" t="s">
        <v>260</v>
      </c>
      <c r="K77" s="549" t="s">
        <v>272</v>
      </c>
      <c r="L77" s="549"/>
      <c r="N77" s="425"/>
    </row>
    <row r="78" spans="1:15">
      <c r="A78" s="454"/>
      <c r="B78" s="461"/>
      <c r="C78" s="475"/>
      <c r="D78" s="476"/>
      <c r="E78" s="475"/>
      <c r="F78" s="477" t="s">
        <v>284</v>
      </c>
      <c r="G78" s="478">
        <f>SUM(G43:G64)</f>
        <v>88.654861111114826</v>
      </c>
      <c r="H78" s="428"/>
      <c r="I78" s="428"/>
      <c r="J78" s="428"/>
      <c r="K78" s="428"/>
      <c r="L78" s="428"/>
    </row>
    <row r="80" spans="1:15">
      <c r="G80" s="479"/>
      <c r="H80" s="551"/>
    </row>
    <row r="90" spans="6:6">
      <c r="F90" s="480"/>
    </row>
  </sheetData>
  <autoFilter ref="A2:M78"/>
  <mergeCells count="5">
    <mergeCell ref="A1:A2"/>
    <mergeCell ref="B1:B2"/>
    <mergeCell ref="C1:D1"/>
    <mergeCell ref="E1:E2"/>
    <mergeCell ref="F1:F2"/>
  </mergeCells>
  <pageMargins left="0.7" right="0.7" top="0.75" bottom="0.75" header="0.3" footer="0.3"/>
  <pageSetup paperSize="9" orientation="portrait" horizontalDpi="1200" verticalDpi="1200" r:id="rId1"/>
  <customProperties>
    <customPr name="EpmWorksheetKeyString_GUID" r:id="rId2"/>
  </customProperties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rgb="FF00B050"/>
  </sheetPr>
  <dimension ref="A1:XFC61"/>
  <sheetViews>
    <sheetView zoomScaleNormal="100" workbookViewId="0">
      <pane xSplit="1" ySplit="4" topLeftCell="B22" activePane="bottomRight" state="frozen"/>
      <selection activeCell="M48" sqref="M48"/>
      <selection pane="topRight" activeCell="M48" sqref="M48"/>
      <selection pane="bottomLeft" activeCell="M48" sqref="M48"/>
      <selection pane="bottomRight" activeCell="H32" sqref="H32"/>
    </sheetView>
  </sheetViews>
  <sheetFormatPr defaultRowHeight="15" outlineLevelRow="1"/>
  <cols>
    <col min="1" max="1" width="11.85546875" customWidth="1"/>
    <col min="2" max="2" width="9.140625" customWidth="1"/>
    <col min="3" max="3" width="10.5703125" customWidth="1"/>
    <col min="4" max="4" width="9.28515625" customWidth="1"/>
    <col min="5" max="5" width="11" bestFit="1" customWidth="1"/>
    <col min="6" max="6" width="9.28515625" customWidth="1"/>
    <col min="7" max="8" width="9.85546875" customWidth="1"/>
    <col min="9" max="9" width="9.5703125" customWidth="1"/>
    <col min="10" max="10" width="10.28515625" customWidth="1"/>
    <col min="11" max="11" width="10.42578125" customWidth="1"/>
    <col min="12" max="13" width="9.5703125" customWidth="1"/>
    <col min="14" max="14" width="7.140625" bestFit="1" customWidth="1"/>
    <col min="15" max="15" width="10" customWidth="1"/>
    <col min="16" max="16" width="7.85546875" customWidth="1"/>
    <col min="17" max="17" width="9.28515625" customWidth="1"/>
    <col min="18" max="18" width="1" customWidth="1"/>
    <col min="19" max="19" width="8" bestFit="1" customWidth="1"/>
    <col min="20" max="20" width="10.7109375" customWidth="1"/>
    <col min="21" max="21" width="9.85546875" customWidth="1"/>
    <col min="22" max="22" width="10.28515625" customWidth="1"/>
    <col min="23" max="23" width="9.5703125" customWidth="1"/>
    <col min="24" max="24" width="1" customWidth="1"/>
    <col min="25" max="25" width="8.5703125" customWidth="1"/>
    <col min="26" max="26" width="9" customWidth="1"/>
    <col min="27" max="28" width="8.140625" customWidth="1"/>
    <col min="29" max="29" width="7.85546875" customWidth="1"/>
    <col min="30" max="30" width="9.42578125" customWidth="1"/>
    <col min="31" max="31" width="1" customWidth="1"/>
    <col min="32" max="32" width="6.7109375" customWidth="1"/>
    <col min="33" max="37" width="7.28515625" customWidth="1"/>
    <col min="38" max="38" width="1" customWidth="1"/>
    <col min="39" max="39" width="7.42578125" customWidth="1"/>
    <col min="40" max="40" width="8.85546875" customWidth="1"/>
    <col min="41" max="41" width="7.28515625" customWidth="1"/>
    <col min="42" max="42" width="10.140625" customWidth="1"/>
    <col min="43" max="44" width="8.85546875" customWidth="1"/>
    <col min="45" max="45" width="1" customWidth="1"/>
    <col min="46" max="46" width="10" bestFit="1" customWidth="1"/>
    <col min="47" max="47" width="10.42578125" customWidth="1"/>
    <col min="48" max="48" width="7.28515625" customWidth="1"/>
    <col min="49" max="49" width="10.140625" customWidth="1"/>
    <col min="50" max="50" width="10.5703125" customWidth="1"/>
    <col min="51" max="51" width="10.28515625" customWidth="1"/>
    <col min="52" max="52" width="1" customWidth="1"/>
    <col min="53" max="53" width="9" customWidth="1"/>
    <col min="54" max="54" width="10.85546875" customWidth="1"/>
    <col min="55" max="55" width="8" customWidth="1"/>
    <col min="56" max="56" width="9.42578125" customWidth="1"/>
    <col min="57" max="57" width="11" customWidth="1"/>
    <col min="58" max="58" width="10" bestFit="1" customWidth="1"/>
    <col min="59" max="59" width="1" customWidth="1"/>
    <col min="60" max="60" width="7.42578125" customWidth="1"/>
    <col min="61" max="61" width="9.7109375" customWidth="1"/>
    <col min="62" max="62" width="7.28515625" customWidth="1"/>
    <col min="63" max="63" width="8.7109375" customWidth="1"/>
    <col min="64" max="64" width="8.7109375" bestFit="1" customWidth="1"/>
    <col min="65" max="65" width="8.85546875" customWidth="1"/>
    <col min="66" max="66" width="1" customWidth="1"/>
    <col min="67" max="67" width="10.42578125" customWidth="1"/>
    <col min="68" max="68" width="10" customWidth="1"/>
    <col min="69" max="69" width="8.85546875" customWidth="1"/>
    <col min="70" max="70" width="8.7109375" customWidth="1"/>
    <col min="71" max="71" width="10" customWidth="1"/>
    <col min="72" max="72" width="10.28515625" customWidth="1"/>
    <col min="73" max="73" width="1" customWidth="1"/>
    <col min="74" max="74" width="9" customWidth="1"/>
    <col min="75" max="75" width="10.140625" customWidth="1"/>
    <col min="76" max="76" width="7.7109375" bestFit="1" customWidth="1"/>
    <col min="77" max="77" width="9" customWidth="1"/>
    <col min="78" max="78" width="10.5703125" bestFit="1" customWidth="1"/>
    <col min="79" max="79" width="10" bestFit="1" customWidth="1"/>
    <col min="80" max="80" width="1.42578125" customWidth="1"/>
    <col min="81" max="81" width="7.42578125" customWidth="1"/>
    <col min="82" max="82" width="7.85546875" customWidth="1"/>
    <col min="83" max="83" width="7.28515625" customWidth="1"/>
    <col min="84" max="84" width="7" customWidth="1"/>
    <col min="85" max="85" width="7.42578125" bestFit="1" customWidth="1"/>
    <col min="86" max="86" width="8.85546875" customWidth="1"/>
    <col min="87" max="87" width="1" customWidth="1"/>
    <col min="88" max="88" width="5" customWidth="1"/>
    <col min="89" max="89" width="7.85546875" customWidth="1"/>
    <col min="90" max="90" width="7.28515625" customWidth="1"/>
    <col min="91" max="91" width="7" customWidth="1"/>
    <col min="92" max="92" width="7.85546875" customWidth="1"/>
    <col min="93" max="93" width="7.42578125" bestFit="1" customWidth="1"/>
    <col min="94" max="94" width="1.5703125" customWidth="1"/>
    <col min="95" max="95" width="6.28515625" customWidth="1"/>
    <col min="96" max="96" width="7.42578125" customWidth="1"/>
    <col min="97" max="97" width="7.85546875" customWidth="1"/>
    <col min="98" max="100" width="7.7109375" customWidth="1"/>
    <col min="101" max="101" width="7.42578125" bestFit="1" customWidth="1"/>
    <col min="102" max="102" width="1.5703125" customWidth="1"/>
    <col min="103" max="103" width="5.42578125" customWidth="1"/>
    <col min="104" max="104" width="6.85546875" customWidth="1"/>
    <col min="105" max="105" width="8.140625" customWidth="1"/>
    <col min="106" max="106" width="7.140625" bestFit="1" customWidth="1"/>
    <col min="107" max="107" width="8.5703125" style="264" customWidth="1"/>
    <col min="108" max="108" width="5.85546875" bestFit="1" customWidth="1"/>
    <col min="109" max="109" width="7" customWidth="1"/>
    <col min="110" max="110" width="1" customWidth="1"/>
    <col min="111" max="111" width="8" customWidth="1"/>
    <col min="112" max="112" width="7" customWidth="1"/>
    <col min="113" max="113" width="7.140625" bestFit="1" customWidth="1"/>
    <col min="114" max="114" width="8.5703125" style="264" customWidth="1"/>
    <col min="115" max="115" width="5.85546875" bestFit="1" customWidth="1"/>
    <col min="116" max="116" width="9" customWidth="1"/>
    <col min="117" max="117" width="1" customWidth="1"/>
    <col min="118" max="118" width="7.85546875" customWidth="1"/>
    <col min="119" max="119" width="10" customWidth="1"/>
    <col min="120" max="120" width="7.140625" bestFit="1" customWidth="1"/>
    <col min="121" max="121" width="9" customWidth="1"/>
    <col min="122" max="122" width="6.5703125" customWidth="1"/>
    <col min="123" max="123" width="7.28515625" bestFit="1" customWidth="1"/>
    <col min="124" max="124" width="1" customWidth="1"/>
    <col min="125" max="125" width="6.5703125" customWidth="1"/>
    <col min="126" max="127" width="8.140625" customWidth="1"/>
    <col min="128" max="128" width="7.5703125" bestFit="1" customWidth="1"/>
    <col min="129" max="129" width="6.5703125" customWidth="1"/>
    <col min="130" max="130" width="8.42578125" customWidth="1"/>
    <col min="131" max="131" width="1" customWidth="1"/>
    <col min="132" max="132" width="6.5703125" customWidth="1"/>
    <col min="133" max="134" width="8.140625" customWidth="1"/>
    <col min="135" max="135" width="7.5703125" bestFit="1" customWidth="1"/>
    <col min="136" max="136" width="6.5703125" customWidth="1"/>
    <col min="137" max="137" width="8.42578125" customWidth="1"/>
    <col min="138" max="138" width="1" customWidth="1"/>
    <col min="139" max="139" width="6.7109375" customWidth="1"/>
    <col min="140" max="140" width="7.42578125" customWidth="1"/>
    <col min="141" max="141" width="5.85546875" customWidth="1"/>
    <col min="142" max="142" width="7.42578125" customWidth="1"/>
    <col min="143" max="143" width="5.85546875" customWidth="1"/>
    <col min="144" max="144" width="7.7109375" customWidth="1"/>
    <col min="145" max="145" width="1" customWidth="1"/>
  </cols>
  <sheetData>
    <row r="1" spans="1:152" ht="15.75" thickBot="1">
      <c r="T1" s="624"/>
      <c r="U1" s="624"/>
      <c r="V1" s="624"/>
      <c r="Z1" s="624"/>
    </row>
    <row r="2" spans="1:152" ht="21.75" thickBot="1">
      <c r="A2" s="1862" t="s">
        <v>107</v>
      </c>
      <c r="B2" s="807" t="s">
        <v>153</v>
      </c>
      <c r="C2" s="808"/>
      <c r="D2" s="808"/>
      <c r="E2" s="808"/>
      <c r="F2" s="808"/>
      <c r="G2" s="808"/>
      <c r="H2" s="808"/>
      <c r="I2" s="808"/>
      <c r="J2" s="808"/>
      <c r="K2" s="808"/>
      <c r="L2" s="808"/>
      <c r="M2" s="808"/>
      <c r="N2" s="808"/>
      <c r="O2" s="808"/>
      <c r="P2" s="808"/>
      <c r="Q2" s="808"/>
      <c r="R2" s="808"/>
      <c r="S2" s="808"/>
      <c r="T2" s="808"/>
      <c r="U2" s="808"/>
      <c r="V2" s="808"/>
      <c r="W2" s="808"/>
      <c r="X2" s="808"/>
      <c r="Y2" s="808"/>
      <c r="Z2" s="808"/>
      <c r="AA2" s="808"/>
      <c r="AB2" s="808"/>
      <c r="AC2" s="808"/>
      <c r="AD2" s="808"/>
      <c r="AE2" s="808"/>
      <c r="AF2" s="808"/>
      <c r="AG2" s="808"/>
      <c r="AH2" s="808"/>
      <c r="AI2" s="808"/>
      <c r="AJ2" s="808"/>
      <c r="AK2" s="808"/>
      <c r="AL2" s="808"/>
      <c r="AM2" s="808"/>
      <c r="AN2" s="808"/>
      <c r="AO2" s="808"/>
      <c r="AP2" s="808"/>
      <c r="AQ2" s="808"/>
      <c r="AR2" s="808"/>
      <c r="AS2" s="808"/>
      <c r="AT2" s="808"/>
      <c r="AU2" s="808"/>
      <c r="AV2" s="808"/>
      <c r="AW2" s="808"/>
      <c r="AX2" s="808"/>
      <c r="AY2" s="808"/>
      <c r="AZ2" s="808"/>
      <c r="BA2" s="808"/>
      <c r="BB2" s="808"/>
      <c r="BC2" s="808"/>
      <c r="BD2" s="808"/>
      <c r="BE2" s="808"/>
      <c r="BF2" s="808"/>
      <c r="BG2" s="808"/>
      <c r="BH2" s="808"/>
      <c r="BI2" s="808"/>
      <c r="BJ2" s="808"/>
      <c r="BK2" s="808"/>
      <c r="BL2" s="808"/>
      <c r="BM2" s="808"/>
      <c r="BN2" s="808"/>
      <c r="BO2" s="808"/>
      <c r="BP2" s="808"/>
      <c r="BQ2" s="808"/>
      <c r="BR2" s="808"/>
      <c r="BS2" s="808"/>
      <c r="BT2" s="808"/>
      <c r="BU2" s="808"/>
      <c r="BV2" s="808"/>
      <c r="BW2" s="808"/>
      <c r="BX2" s="808"/>
      <c r="BY2" s="808"/>
      <c r="BZ2" s="808"/>
      <c r="CA2" s="808"/>
      <c r="CB2" s="808"/>
      <c r="CC2" s="808"/>
      <c r="CD2" s="808"/>
      <c r="CE2" s="808"/>
      <c r="CF2" s="808"/>
      <c r="CG2" s="808"/>
      <c r="CH2" s="808"/>
      <c r="CI2" s="808"/>
      <c r="CJ2" s="808"/>
      <c r="CK2" s="808"/>
      <c r="CL2" s="808"/>
      <c r="CM2" s="808"/>
      <c r="CN2" s="808"/>
      <c r="CO2" s="808"/>
      <c r="CP2" s="808"/>
      <c r="CQ2" s="808"/>
      <c r="CR2" s="808"/>
      <c r="CS2" s="808"/>
      <c r="CT2" s="808"/>
      <c r="CU2" s="808"/>
      <c r="CV2" s="808"/>
      <c r="CW2" s="808"/>
      <c r="CX2" s="808"/>
      <c r="CY2" s="808"/>
      <c r="CZ2" s="808"/>
      <c r="DA2" s="808"/>
      <c r="DB2" s="808"/>
      <c r="DC2" s="808"/>
      <c r="DD2" s="808"/>
      <c r="DE2" s="808"/>
      <c r="DF2" s="808"/>
      <c r="DG2" s="808"/>
      <c r="DH2" s="808"/>
      <c r="DI2" s="808"/>
      <c r="DJ2" s="808"/>
      <c r="DK2" s="808"/>
      <c r="DL2" s="808"/>
      <c r="DM2" s="808"/>
      <c r="DN2" s="808"/>
      <c r="DO2" s="808"/>
      <c r="DP2" s="808"/>
      <c r="DQ2" s="808"/>
      <c r="DR2" s="808"/>
      <c r="DS2" s="808"/>
      <c r="DT2" s="808"/>
      <c r="DU2" s="808"/>
      <c r="DV2" s="808"/>
      <c r="DW2" s="808"/>
      <c r="DX2" s="808"/>
      <c r="DY2" s="808"/>
      <c r="DZ2" s="808"/>
      <c r="EA2" s="808"/>
      <c r="EB2" s="808"/>
      <c r="EC2" s="808"/>
      <c r="ED2" s="808"/>
      <c r="EE2" s="808"/>
      <c r="EF2" s="808"/>
      <c r="EG2" s="808"/>
      <c r="EH2" s="808"/>
      <c r="EI2" s="623"/>
      <c r="EJ2" s="623"/>
      <c r="EK2" s="623"/>
      <c r="EL2" s="623"/>
      <c r="EM2" s="623"/>
      <c r="EN2" s="623"/>
      <c r="EO2" s="623"/>
      <c r="EP2" s="623"/>
      <c r="EQ2" s="623"/>
      <c r="ER2" s="623"/>
      <c r="ES2" s="623"/>
      <c r="ET2" s="623"/>
      <c r="EU2" s="623"/>
      <c r="EV2" s="623"/>
    </row>
    <row r="3" spans="1:152" ht="16.5" thickBot="1">
      <c r="A3" s="1863"/>
      <c r="B3" s="1868" t="s">
        <v>412</v>
      </c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641"/>
      <c r="S3" s="1870" t="s">
        <v>447</v>
      </c>
      <c r="T3" s="1871"/>
      <c r="U3" s="1871"/>
      <c r="V3" s="1871"/>
      <c r="W3" s="1872"/>
      <c r="X3" s="641"/>
      <c r="Y3" s="1861" t="s">
        <v>413</v>
      </c>
      <c r="Z3" s="1861"/>
      <c r="AA3" s="1861"/>
      <c r="AB3" s="1861"/>
      <c r="AC3" s="1861"/>
      <c r="AD3" s="1861"/>
      <c r="AE3" s="641"/>
      <c r="AF3" s="1861" t="s">
        <v>414</v>
      </c>
      <c r="AG3" s="1861"/>
      <c r="AH3" s="1861"/>
      <c r="AI3" s="1861"/>
      <c r="AJ3" s="1861"/>
      <c r="AK3" s="1861"/>
      <c r="AL3" s="217"/>
      <c r="AM3" s="1865" t="s">
        <v>642</v>
      </c>
      <c r="AN3" s="1866"/>
      <c r="AO3" s="1866"/>
      <c r="AP3" s="1866"/>
      <c r="AQ3" s="1866"/>
      <c r="AR3" s="1867"/>
      <c r="AS3" s="217"/>
      <c r="AT3" s="1868" t="s">
        <v>557</v>
      </c>
      <c r="AU3" s="1861"/>
      <c r="AV3" s="1861"/>
      <c r="AW3" s="1861"/>
      <c r="AX3" s="1861"/>
      <c r="AY3" s="1869"/>
      <c r="AZ3" s="217"/>
      <c r="BA3" s="1868" t="s">
        <v>599</v>
      </c>
      <c r="BB3" s="1861"/>
      <c r="BC3" s="1861"/>
      <c r="BD3" s="1861"/>
      <c r="BE3" s="1861"/>
      <c r="BF3" s="1869"/>
      <c r="BG3" s="217"/>
      <c r="BH3" s="1865" t="s">
        <v>643</v>
      </c>
      <c r="BI3" s="1866"/>
      <c r="BJ3" s="1866"/>
      <c r="BK3" s="1866"/>
      <c r="BL3" s="1866"/>
      <c r="BM3" s="1867"/>
      <c r="BN3" s="217"/>
      <c r="BO3" s="1868" t="s">
        <v>558</v>
      </c>
      <c r="BP3" s="1861"/>
      <c r="BQ3" s="1861"/>
      <c r="BR3" s="1861"/>
      <c r="BS3" s="1861"/>
      <c r="BT3" s="1869"/>
      <c r="BU3" s="217"/>
      <c r="BV3" s="1868" t="s">
        <v>669</v>
      </c>
      <c r="BW3" s="1861"/>
      <c r="BX3" s="1861"/>
      <c r="BY3" s="1861"/>
      <c r="BZ3" s="1861"/>
      <c r="CA3" s="1869"/>
      <c r="CB3" s="217"/>
      <c r="CC3" s="1868" t="s">
        <v>674</v>
      </c>
      <c r="CD3" s="1861"/>
      <c r="CE3" s="1861"/>
      <c r="CF3" s="1861"/>
      <c r="CG3" s="1861"/>
      <c r="CH3" s="1869"/>
      <c r="CI3" s="217"/>
      <c r="CJ3" s="1868" t="s">
        <v>673</v>
      </c>
      <c r="CK3" s="1861"/>
      <c r="CL3" s="1861"/>
      <c r="CM3" s="1861"/>
      <c r="CN3" s="1861"/>
      <c r="CO3" s="1869"/>
      <c r="CP3" s="217"/>
      <c r="CQ3" s="1868" t="s">
        <v>559</v>
      </c>
      <c r="CR3" s="1861"/>
      <c r="CS3" s="1861"/>
      <c r="CT3" s="1861"/>
      <c r="CU3" s="1861"/>
      <c r="CV3" s="1861"/>
      <c r="CW3" s="1869"/>
      <c r="CX3" s="217"/>
      <c r="CY3" s="1868" t="s">
        <v>449</v>
      </c>
      <c r="CZ3" s="1861"/>
      <c r="DA3" s="1861"/>
      <c r="DB3" s="1861"/>
      <c r="DC3" s="1861"/>
      <c r="DD3" s="1861"/>
      <c r="DE3" s="1869"/>
      <c r="DF3" s="217"/>
      <c r="DG3" s="1865" t="s">
        <v>644</v>
      </c>
      <c r="DH3" s="1866"/>
      <c r="DI3" s="1866"/>
      <c r="DJ3" s="1866"/>
      <c r="DK3" s="1866"/>
      <c r="DL3" s="1867"/>
      <c r="DM3" s="217"/>
      <c r="DN3" s="1868" t="s">
        <v>560</v>
      </c>
      <c r="DO3" s="1861"/>
      <c r="DP3" s="1861"/>
      <c r="DQ3" s="1861"/>
      <c r="DR3" s="1861"/>
      <c r="DS3" s="1869"/>
      <c r="DT3" s="217"/>
      <c r="DU3" s="1868" t="s">
        <v>600</v>
      </c>
      <c r="DV3" s="1861"/>
      <c r="DW3" s="1861"/>
      <c r="DX3" s="1861"/>
      <c r="DY3" s="1861"/>
      <c r="DZ3" s="1869"/>
      <c r="EA3" s="217"/>
      <c r="EB3" s="1865" t="s">
        <v>645</v>
      </c>
      <c r="EC3" s="1866"/>
      <c r="ED3" s="1866"/>
      <c r="EE3" s="1866"/>
      <c r="EF3" s="1866"/>
      <c r="EG3" s="1867"/>
      <c r="EH3" s="217"/>
      <c r="EI3" s="1868" t="s">
        <v>562</v>
      </c>
      <c r="EJ3" s="1861"/>
      <c r="EK3" s="1861"/>
      <c r="EL3" s="1861"/>
      <c r="EM3" s="1861"/>
      <c r="EN3" s="1869"/>
      <c r="EO3" s="217"/>
      <c r="EP3" s="1868" t="s">
        <v>601</v>
      </c>
      <c r="EQ3" s="1861"/>
      <c r="ER3" s="1861"/>
      <c r="ES3" s="1861"/>
      <c r="ET3" s="1861"/>
      <c r="EU3" s="1869"/>
      <c r="EV3" s="217"/>
    </row>
    <row r="4" spans="1:152" s="373" customFormat="1" ht="64.5" customHeight="1" thickBot="1">
      <c r="A4" s="1864"/>
      <c r="B4" s="510" t="s">
        <v>154</v>
      </c>
      <c r="C4" s="511" t="s">
        <v>184</v>
      </c>
      <c r="D4" s="512" t="s">
        <v>207</v>
      </c>
      <c r="E4" s="512" t="s">
        <v>206</v>
      </c>
      <c r="F4" s="512" t="s">
        <v>468</v>
      </c>
      <c r="G4" s="512" t="s">
        <v>554</v>
      </c>
      <c r="H4" s="512" t="s">
        <v>670</v>
      </c>
      <c r="I4" s="512" t="s">
        <v>469</v>
      </c>
      <c r="J4" s="512" t="s">
        <v>555</v>
      </c>
      <c r="K4" s="512" t="s">
        <v>602</v>
      </c>
      <c r="L4" s="512" t="s">
        <v>470</v>
      </c>
      <c r="M4" s="512" t="s">
        <v>556</v>
      </c>
      <c r="N4" s="512" t="s">
        <v>675</v>
      </c>
      <c r="O4" s="512" t="s">
        <v>377</v>
      </c>
      <c r="P4" s="512" t="s">
        <v>205</v>
      </c>
      <c r="Q4" s="1535" t="s">
        <v>225</v>
      </c>
      <c r="R4" s="513"/>
      <c r="S4" s="514" t="s">
        <v>154</v>
      </c>
      <c r="T4" s="514" t="s">
        <v>156</v>
      </c>
      <c r="U4" s="515" t="s">
        <v>629</v>
      </c>
      <c r="V4" s="515" t="s">
        <v>450</v>
      </c>
      <c r="W4" s="516" t="s">
        <v>138</v>
      </c>
      <c r="X4" s="513"/>
      <c r="Y4" s="511" t="s">
        <v>228</v>
      </c>
      <c r="Z4" s="511" t="s">
        <v>186</v>
      </c>
      <c r="AA4" s="512" t="s">
        <v>471</v>
      </c>
      <c r="AB4" s="512" t="s">
        <v>561</v>
      </c>
      <c r="AC4" s="512" t="s">
        <v>410</v>
      </c>
      <c r="AD4" s="512" t="s">
        <v>226</v>
      </c>
      <c r="AE4" s="517"/>
      <c r="AF4" s="512" t="s">
        <v>229</v>
      </c>
      <c r="AG4" s="511" t="s">
        <v>187</v>
      </c>
      <c r="AH4" s="512" t="s">
        <v>472</v>
      </c>
      <c r="AI4" s="512" t="s">
        <v>567</v>
      </c>
      <c r="AJ4" s="512" t="s">
        <v>411</v>
      </c>
      <c r="AK4" s="512" t="s">
        <v>227</v>
      </c>
      <c r="AL4" s="518"/>
      <c r="AM4" s="514" t="s">
        <v>154</v>
      </c>
      <c r="AN4" s="514" t="s">
        <v>156</v>
      </c>
      <c r="AO4" s="514" t="s">
        <v>451</v>
      </c>
      <c r="AP4" s="514" t="s">
        <v>457</v>
      </c>
      <c r="AQ4" s="514" t="s">
        <v>130</v>
      </c>
      <c r="AR4" s="514" t="s">
        <v>155</v>
      </c>
      <c r="AS4" s="518"/>
      <c r="AT4" s="514" t="s">
        <v>154</v>
      </c>
      <c r="AU4" s="514" t="s">
        <v>156</v>
      </c>
      <c r="AV4" s="514" t="s">
        <v>451</v>
      </c>
      <c r="AW4" s="514" t="s">
        <v>457</v>
      </c>
      <c r="AX4" s="514" t="s">
        <v>130</v>
      </c>
      <c r="AY4" s="514" t="s">
        <v>155</v>
      </c>
      <c r="AZ4" s="518"/>
      <c r="BA4" s="514" t="s">
        <v>154</v>
      </c>
      <c r="BB4" s="514" t="s">
        <v>156</v>
      </c>
      <c r="BC4" s="514" t="s">
        <v>459</v>
      </c>
      <c r="BD4" s="514" t="s">
        <v>454</v>
      </c>
      <c r="BE4" s="514" t="s">
        <v>130</v>
      </c>
      <c r="BF4" s="514" t="s">
        <v>155</v>
      </c>
      <c r="BG4" s="518"/>
      <c r="BH4" s="514" t="s">
        <v>154</v>
      </c>
      <c r="BI4" s="514" t="s">
        <v>156</v>
      </c>
      <c r="BJ4" s="514" t="s">
        <v>451</v>
      </c>
      <c r="BK4" s="514" t="s">
        <v>457</v>
      </c>
      <c r="BL4" s="514" t="s">
        <v>130</v>
      </c>
      <c r="BM4" s="514" t="s">
        <v>155</v>
      </c>
      <c r="BN4" s="518"/>
      <c r="BO4" s="514" t="s">
        <v>154</v>
      </c>
      <c r="BP4" s="514" t="s">
        <v>156</v>
      </c>
      <c r="BQ4" s="514" t="s">
        <v>451</v>
      </c>
      <c r="BR4" s="514" t="s">
        <v>457</v>
      </c>
      <c r="BS4" s="514" t="s">
        <v>130</v>
      </c>
      <c r="BT4" s="514" t="s">
        <v>155</v>
      </c>
      <c r="BU4" s="518"/>
      <c r="BV4" s="514" t="s">
        <v>154</v>
      </c>
      <c r="BW4" s="514" t="s">
        <v>156</v>
      </c>
      <c r="BX4" s="514" t="s">
        <v>458</v>
      </c>
      <c r="BY4" s="514" t="s">
        <v>451</v>
      </c>
      <c r="BZ4" s="514" t="s">
        <v>130</v>
      </c>
      <c r="CA4" s="514" t="s">
        <v>155</v>
      </c>
      <c r="CB4" s="518"/>
      <c r="CC4" s="514" t="s">
        <v>154</v>
      </c>
      <c r="CD4" s="514" t="s">
        <v>156</v>
      </c>
      <c r="CE4" s="514" t="s">
        <v>451</v>
      </c>
      <c r="CF4" s="514" t="s">
        <v>454</v>
      </c>
      <c r="CG4" s="514" t="s">
        <v>130</v>
      </c>
      <c r="CH4" s="514" t="s">
        <v>155</v>
      </c>
      <c r="CI4" s="518"/>
      <c r="CJ4" s="514" t="s">
        <v>154</v>
      </c>
      <c r="CK4" s="514" t="s">
        <v>156</v>
      </c>
      <c r="CL4" s="514" t="s">
        <v>451</v>
      </c>
      <c r="CM4" s="514" t="s">
        <v>454</v>
      </c>
      <c r="CN4" s="514" t="s">
        <v>130</v>
      </c>
      <c r="CO4" s="514" t="s">
        <v>155</v>
      </c>
      <c r="CP4" s="518"/>
      <c r="CQ4" s="514" t="s">
        <v>154</v>
      </c>
      <c r="CR4" s="514" t="s">
        <v>156</v>
      </c>
      <c r="CS4" s="514" t="s">
        <v>451</v>
      </c>
      <c r="CT4" s="514" t="s">
        <v>454</v>
      </c>
      <c r="CU4" s="519" t="s">
        <v>195</v>
      </c>
      <c r="CV4" s="514" t="s">
        <v>130</v>
      </c>
      <c r="CW4" s="514" t="s">
        <v>155</v>
      </c>
      <c r="CX4" s="518"/>
      <c r="CY4" s="514" t="s">
        <v>154</v>
      </c>
      <c r="CZ4" s="514" t="s">
        <v>156</v>
      </c>
      <c r="DA4" s="514" t="s">
        <v>451</v>
      </c>
      <c r="DB4" s="514" t="s">
        <v>454</v>
      </c>
      <c r="DC4" s="519" t="s">
        <v>195</v>
      </c>
      <c r="DD4" s="514" t="s">
        <v>130</v>
      </c>
      <c r="DE4" s="514" t="s">
        <v>155</v>
      </c>
      <c r="DF4" s="518"/>
      <c r="DG4" s="514" t="s">
        <v>154</v>
      </c>
      <c r="DH4" s="514" t="s">
        <v>156</v>
      </c>
      <c r="DI4" s="806" t="s">
        <v>448</v>
      </c>
      <c r="DJ4" s="519" t="s">
        <v>195</v>
      </c>
      <c r="DK4" s="514" t="s">
        <v>130</v>
      </c>
      <c r="DL4" s="511" t="s">
        <v>155</v>
      </c>
      <c r="DM4" s="518"/>
      <c r="DN4" s="514" t="s">
        <v>154</v>
      </c>
      <c r="DO4" s="514" t="s">
        <v>156</v>
      </c>
      <c r="DP4" s="806" t="s">
        <v>448</v>
      </c>
      <c r="DQ4" s="519" t="s">
        <v>195</v>
      </c>
      <c r="DR4" s="514" t="s">
        <v>130</v>
      </c>
      <c r="DS4" s="511" t="s">
        <v>155</v>
      </c>
      <c r="DT4" s="518"/>
      <c r="DU4" s="514" t="s">
        <v>154</v>
      </c>
      <c r="DV4" s="514" t="s">
        <v>156</v>
      </c>
      <c r="DW4" s="806" t="s">
        <v>448</v>
      </c>
      <c r="DX4" s="519" t="s">
        <v>195</v>
      </c>
      <c r="DY4" s="514" t="s">
        <v>130</v>
      </c>
      <c r="DZ4" s="514" t="s">
        <v>155</v>
      </c>
      <c r="EA4" s="518"/>
      <c r="EB4" s="514" t="s">
        <v>154</v>
      </c>
      <c r="EC4" s="514" t="s">
        <v>156</v>
      </c>
      <c r="ED4" s="806" t="s">
        <v>448</v>
      </c>
      <c r="EE4" s="519" t="s">
        <v>195</v>
      </c>
      <c r="EF4" s="514" t="s">
        <v>130</v>
      </c>
      <c r="EG4" s="514" t="s">
        <v>155</v>
      </c>
      <c r="EH4" s="518"/>
      <c r="EI4" s="514" t="s">
        <v>154</v>
      </c>
      <c r="EJ4" s="514" t="s">
        <v>156</v>
      </c>
      <c r="EK4" s="806" t="s">
        <v>448</v>
      </c>
      <c r="EL4" s="519" t="s">
        <v>195</v>
      </c>
      <c r="EM4" s="514" t="s">
        <v>130</v>
      </c>
      <c r="EN4" s="514" t="s">
        <v>155</v>
      </c>
      <c r="EO4" s="518"/>
      <c r="EP4" s="514" t="s">
        <v>154</v>
      </c>
      <c r="EQ4" s="514" t="s">
        <v>156</v>
      </c>
      <c r="ER4" s="806" t="s">
        <v>448</v>
      </c>
      <c r="ES4" s="519" t="s">
        <v>195</v>
      </c>
      <c r="ET4" s="514" t="s">
        <v>130</v>
      </c>
      <c r="EU4" s="514" t="s">
        <v>155</v>
      </c>
      <c r="EV4" s="518"/>
    </row>
    <row r="5" spans="1:152" s="291" customFormat="1">
      <c r="A5" s="620">
        <v>43799</v>
      </c>
      <c r="B5" s="614">
        <v>-5.6843418860808015E-14</v>
      </c>
      <c r="C5" s="615">
        <v>516.02</v>
      </c>
      <c r="D5" s="615">
        <v>10.8</v>
      </c>
      <c r="E5" s="615">
        <v>526.81999999999994</v>
      </c>
      <c r="F5" s="615">
        <v>0</v>
      </c>
      <c r="G5" s="615">
        <v>0</v>
      </c>
      <c r="H5" s="615">
        <v>0</v>
      </c>
      <c r="I5" s="615">
        <v>0</v>
      </c>
      <c r="J5" s="615">
        <v>403.19999999999993</v>
      </c>
      <c r="K5" s="615">
        <v>0</v>
      </c>
      <c r="L5" s="615">
        <v>0</v>
      </c>
      <c r="M5" s="615">
        <v>0</v>
      </c>
      <c r="N5" s="615">
        <v>0</v>
      </c>
      <c r="O5" s="615">
        <v>123.62</v>
      </c>
      <c r="P5" s="615"/>
      <c r="Q5" s="662">
        <v>0</v>
      </c>
      <c r="R5" s="1188"/>
      <c r="S5" s="616">
        <v>508.48999999999916</v>
      </c>
      <c r="T5" s="616">
        <v>123.62</v>
      </c>
      <c r="U5" s="617">
        <v>0</v>
      </c>
      <c r="V5" s="618">
        <v>0</v>
      </c>
      <c r="W5" s="615">
        <v>632.10999999999922</v>
      </c>
      <c r="X5" s="1188"/>
      <c r="Y5" s="615">
        <v>0</v>
      </c>
      <c r="Z5" s="615">
        <v>0</v>
      </c>
      <c r="AA5" s="618">
        <v>0</v>
      </c>
      <c r="AB5" s="618">
        <v>0</v>
      </c>
      <c r="AC5" s="618">
        <v>0</v>
      </c>
      <c r="AD5" s="615">
        <v>0</v>
      </c>
      <c r="AE5" s="1188"/>
      <c r="AF5" s="615">
        <v>0</v>
      </c>
      <c r="AG5" s="615">
        <v>0</v>
      </c>
      <c r="AH5" s="618">
        <v>0</v>
      </c>
      <c r="AI5" s="618">
        <v>0</v>
      </c>
      <c r="AJ5" s="618">
        <v>0</v>
      </c>
      <c r="AK5" s="615">
        <v>0</v>
      </c>
      <c r="AL5" s="619"/>
      <c r="AM5" s="615">
        <v>486</v>
      </c>
      <c r="AN5" s="615">
        <v>0</v>
      </c>
      <c r="AO5" s="618"/>
      <c r="AP5" s="618"/>
      <c r="AQ5" s="615">
        <v>0</v>
      </c>
      <c r="AR5" s="615">
        <v>486</v>
      </c>
      <c r="AS5" s="619"/>
      <c r="AT5" s="615">
        <v>2682.0000000000059</v>
      </c>
      <c r="AU5" s="615">
        <v>403.19999999999993</v>
      </c>
      <c r="AV5" s="618"/>
      <c r="AW5" s="618"/>
      <c r="AX5" s="615">
        <v>0</v>
      </c>
      <c r="AY5" s="615">
        <v>3085.2000000000057</v>
      </c>
      <c r="AZ5" s="619"/>
      <c r="BA5" s="618">
        <v>0</v>
      </c>
      <c r="BB5" s="615">
        <v>0</v>
      </c>
      <c r="BC5" s="618"/>
      <c r="BD5" s="618"/>
      <c r="BE5" s="615">
        <v>0</v>
      </c>
      <c r="BF5" s="615">
        <v>0</v>
      </c>
      <c r="BG5" s="619"/>
      <c r="BH5" s="615">
        <v>-2.9842794901924208E-12</v>
      </c>
      <c r="BI5" s="615">
        <v>0</v>
      </c>
      <c r="BJ5" s="618"/>
      <c r="BK5" s="618"/>
      <c r="BL5" s="615">
        <v>0</v>
      </c>
      <c r="BM5" s="615">
        <v>-2.9842794901924208E-12</v>
      </c>
      <c r="BN5" s="619"/>
      <c r="BO5" s="615">
        <v>4.5474735088646412E-13</v>
      </c>
      <c r="BP5" s="615">
        <v>0</v>
      </c>
      <c r="BQ5" s="618"/>
      <c r="BR5" s="618"/>
      <c r="BS5" s="615">
        <v>0</v>
      </c>
      <c r="BT5" s="615">
        <v>4.5474735088646412E-13</v>
      </c>
      <c r="BU5" s="619"/>
      <c r="BV5" s="1160">
        <v>0</v>
      </c>
      <c r="BW5" s="615">
        <v>0</v>
      </c>
      <c r="BX5" s="618"/>
      <c r="BY5" s="618"/>
      <c r="BZ5" s="615">
        <v>0</v>
      </c>
      <c r="CA5" s="615">
        <v>0</v>
      </c>
      <c r="CB5" s="619"/>
      <c r="CC5" s="662">
        <v>61.6</v>
      </c>
      <c r="CD5" s="662">
        <v>0</v>
      </c>
      <c r="CE5" s="662"/>
      <c r="CF5" s="662"/>
      <c r="CG5" s="615">
        <v>0</v>
      </c>
      <c r="CH5" s="662">
        <v>61.6</v>
      </c>
      <c r="CI5" s="619"/>
      <c r="CJ5" s="662">
        <v>0</v>
      </c>
      <c r="CK5" s="662">
        <v>0</v>
      </c>
      <c r="CL5" s="662"/>
      <c r="CM5" s="662"/>
      <c r="CN5" s="615">
        <v>0</v>
      </c>
      <c r="CO5" s="662">
        <v>0</v>
      </c>
      <c r="CP5" s="619"/>
      <c r="CQ5" s="662">
        <v>85.499999999999986</v>
      </c>
      <c r="CR5" s="662">
        <v>0</v>
      </c>
      <c r="CS5" s="662"/>
      <c r="CT5" s="662"/>
      <c r="CU5" s="662">
        <v>1.8</v>
      </c>
      <c r="CV5" s="615">
        <v>0</v>
      </c>
      <c r="CW5" s="615">
        <v>83.699999999999989</v>
      </c>
      <c r="CX5" s="619"/>
      <c r="CY5" s="662">
        <v>0</v>
      </c>
      <c r="CZ5" s="662"/>
      <c r="DA5" s="662"/>
      <c r="DB5" s="662"/>
      <c r="DC5" s="662"/>
      <c r="DD5" s="615">
        <v>0</v>
      </c>
      <c r="DE5" s="615">
        <v>0</v>
      </c>
      <c r="DF5" s="619"/>
      <c r="DG5" s="615">
        <v>0</v>
      </c>
      <c r="DH5" s="618">
        <v>0</v>
      </c>
      <c r="DI5" s="618"/>
      <c r="DJ5" s="618"/>
      <c r="DK5" s="618">
        <v>0</v>
      </c>
      <c r="DL5" s="615">
        <v>0</v>
      </c>
      <c r="DM5" s="619"/>
      <c r="DN5" s="615">
        <v>9</v>
      </c>
      <c r="DO5" s="618">
        <v>0</v>
      </c>
      <c r="DP5" s="618"/>
      <c r="DQ5" s="618">
        <v>9</v>
      </c>
      <c r="DR5" s="618">
        <v>0</v>
      </c>
      <c r="DS5" s="615">
        <v>0</v>
      </c>
      <c r="DT5" s="619"/>
      <c r="DU5" s="615">
        <v>-1.7763568394002505E-14</v>
      </c>
      <c r="DV5" s="618">
        <v>0</v>
      </c>
      <c r="DW5" s="618"/>
      <c r="DX5" s="618"/>
      <c r="DY5" s="618">
        <v>0</v>
      </c>
      <c r="DZ5" s="615">
        <v>-1.7763568394002505E-14</v>
      </c>
      <c r="EA5" s="619"/>
      <c r="EB5" s="618">
        <v>0</v>
      </c>
      <c r="EC5" s="618">
        <v>0</v>
      </c>
      <c r="ED5" s="618"/>
      <c r="EE5" s="618"/>
      <c r="EF5" s="618">
        <v>0</v>
      </c>
      <c r="EG5" s="615">
        <v>0</v>
      </c>
      <c r="EH5" s="619"/>
      <c r="EI5" s="618">
        <v>0</v>
      </c>
      <c r="EJ5" s="618">
        <v>0</v>
      </c>
      <c r="EK5" s="618"/>
      <c r="EL5" s="618"/>
      <c r="EM5" s="618">
        <v>0</v>
      </c>
      <c r="EN5" s="615">
        <v>0</v>
      </c>
      <c r="EO5" s="619"/>
      <c r="EP5" s="615">
        <v>0</v>
      </c>
      <c r="EQ5" s="662">
        <v>0</v>
      </c>
      <c r="ER5" s="662"/>
      <c r="ES5" s="662"/>
      <c r="ET5" s="805">
        <v>0</v>
      </c>
      <c r="EU5" s="615">
        <v>0</v>
      </c>
      <c r="EV5" s="619"/>
    </row>
    <row r="6" spans="1:152">
      <c r="A6" s="257">
        <f>'Raw Material'!A5</f>
        <v>43800</v>
      </c>
      <c r="B6" s="261">
        <f>Q5</f>
        <v>0</v>
      </c>
      <c r="C6" s="501">
        <f>'BPA Product '!L6+'BPA Product '!O6-D6</f>
        <v>484.93</v>
      </c>
      <c r="D6" s="267">
        <f>DJ6+DX6+EE6+ES6+EL6+DC6+DQ6+CU6</f>
        <v>0</v>
      </c>
      <c r="E6" s="812">
        <f>D6+C6</f>
        <v>484.93</v>
      </c>
      <c r="F6" s="259">
        <f>'BPA Product '!Q6</f>
        <v>0</v>
      </c>
      <c r="G6" s="259">
        <f>'BPA Product '!R6</f>
        <v>0</v>
      </c>
      <c r="H6" s="543">
        <f>'BPA Product '!S6</f>
        <v>0</v>
      </c>
      <c r="I6" s="630">
        <f>'BPA Product '!U6</f>
        <v>0</v>
      </c>
      <c r="J6" s="630">
        <f>'BPA Product '!V6</f>
        <v>468</v>
      </c>
      <c r="K6" s="630">
        <f>'BPA Product '!X6</f>
        <v>0</v>
      </c>
      <c r="L6" s="543">
        <f>'BPA Product '!AG6</f>
        <v>0</v>
      </c>
      <c r="M6" s="543">
        <f>'BPA Product '!AF6</f>
        <v>0</v>
      </c>
      <c r="N6" s="543">
        <f>'BPA Product '!T6</f>
        <v>0</v>
      </c>
      <c r="O6" s="498">
        <f>'BPA Product '!AH6+'BPA Product '!AI6</f>
        <v>16.93</v>
      </c>
      <c r="P6" s="498"/>
      <c r="Q6" s="498">
        <f>B6+E6-SUM(F6:O6)-P6</f>
        <v>0</v>
      </c>
      <c r="R6" s="360"/>
      <c r="S6" s="498">
        <f>W5</f>
        <v>632.10999999999922</v>
      </c>
      <c r="T6" s="498">
        <f>O6</f>
        <v>16.93</v>
      </c>
      <c r="U6" s="508">
        <f>'BPA Product '!BD6+'BPA Product '!BE6</f>
        <v>0</v>
      </c>
      <c r="V6" s="508">
        <f>'BPA Product '!AJ6</f>
        <v>0</v>
      </c>
      <c r="W6" s="498">
        <f>S6+T6-U6-V6</f>
        <v>649.03999999999917</v>
      </c>
      <c r="X6" s="507"/>
      <c r="Y6" s="259">
        <f>AD5</f>
        <v>0</v>
      </c>
      <c r="Z6" s="259">
        <f>'BPA Product '!M6</f>
        <v>0</v>
      </c>
      <c r="AA6" s="260">
        <f>'BPA Product '!Y6</f>
        <v>0</v>
      </c>
      <c r="AB6" s="260">
        <f>'BPA Product '!Z6</f>
        <v>0</v>
      </c>
      <c r="AC6" s="260">
        <f>'BPA Product '!AA6</f>
        <v>0</v>
      </c>
      <c r="AD6" s="259">
        <f>Y6+Z6-AA6-AC6-AB6</f>
        <v>0</v>
      </c>
      <c r="AE6" s="360"/>
      <c r="AF6" s="259">
        <f>AK5</f>
        <v>0</v>
      </c>
      <c r="AG6" s="259">
        <f>'BPA Product '!N6</f>
        <v>0</v>
      </c>
      <c r="AH6" s="260">
        <f>'BPA Product '!AB6</f>
        <v>0</v>
      </c>
      <c r="AI6" s="260">
        <f>'BPA Product '!AC6</f>
        <v>0</v>
      </c>
      <c r="AJ6" s="260">
        <f>'BPA Product '!AD6</f>
        <v>0</v>
      </c>
      <c r="AK6" s="259">
        <f>AF6+AG6-AH6-AJ6</f>
        <v>0</v>
      </c>
      <c r="AL6" s="258"/>
      <c r="AM6" s="259">
        <f>AR5</f>
        <v>486</v>
      </c>
      <c r="AN6" s="259">
        <f>I6</f>
        <v>0</v>
      </c>
      <c r="AO6" s="633"/>
      <c r="AP6" s="632"/>
      <c r="AQ6" s="259">
        <f>'BPA Product '!AQ6</f>
        <v>0</v>
      </c>
      <c r="AR6" s="259">
        <f>AM6+AN6+AO6-AQ6-AP6</f>
        <v>486</v>
      </c>
      <c r="AS6" s="258"/>
      <c r="AT6" s="259">
        <f>AY5</f>
        <v>3085.2000000000057</v>
      </c>
      <c r="AU6" s="259">
        <f>J6</f>
        <v>468</v>
      </c>
      <c r="AV6" s="1362"/>
      <c r="AW6" s="1362"/>
      <c r="AX6" s="259">
        <f>'BPA Product '!AR6</f>
        <v>1530</v>
      </c>
      <c r="AY6" s="259">
        <f>AT6+AU6+AV6-AX6-AW6</f>
        <v>2023.2000000000057</v>
      </c>
      <c r="AZ6" s="258"/>
      <c r="BA6" s="260">
        <f>BF5</f>
        <v>0</v>
      </c>
      <c r="BB6" s="259">
        <f>K6</f>
        <v>0</v>
      </c>
      <c r="BC6" s="637"/>
      <c r="BD6" s="636"/>
      <c r="BE6" s="685">
        <f>'BPA Product '!AS6</f>
        <v>0</v>
      </c>
      <c r="BF6" s="259">
        <f>BA6+BB6+BC6-BD6-BE6</f>
        <v>0</v>
      </c>
      <c r="BG6" s="258"/>
      <c r="BH6" s="260">
        <f>BM5</f>
        <v>-2.9842794901924208E-12</v>
      </c>
      <c r="BI6" s="259">
        <f t="shared" ref="BI6:BI36" si="0">F6</f>
        <v>0</v>
      </c>
      <c r="BJ6" s="633"/>
      <c r="BK6" s="632"/>
      <c r="BL6" s="259">
        <f>'BPA Product '!AM6</f>
        <v>0</v>
      </c>
      <c r="BM6" s="259">
        <f>BH6+BI6+BJ6-BL6-BK6</f>
        <v>-2.9842794901924208E-12</v>
      </c>
      <c r="BN6" s="258"/>
      <c r="BO6" s="259">
        <f>BT5</f>
        <v>4.5474735088646412E-13</v>
      </c>
      <c r="BP6" s="259">
        <f>G6</f>
        <v>0</v>
      </c>
      <c r="BQ6" s="637"/>
      <c r="BR6" s="636"/>
      <c r="BS6" s="259">
        <f>'BPA Product '!AO6</f>
        <v>0</v>
      </c>
      <c r="BT6" s="259">
        <f>BO6+BP6+BQ6-BS6-BR6</f>
        <v>4.5474735088646412E-13</v>
      </c>
      <c r="BU6" s="258"/>
      <c r="BV6" s="1161">
        <f>CA5</f>
        <v>0</v>
      </c>
      <c r="BW6" s="259">
        <f t="shared" ref="BW6:BW36" si="1">H6+V6</f>
        <v>0</v>
      </c>
      <c r="BX6" s="637"/>
      <c r="BY6" s="636"/>
      <c r="BZ6" s="685">
        <f>'BPA Product '!AP6</f>
        <v>0</v>
      </c>
      <c r="CA6" s="259">
        <f t="shared" ref="CA6:CA34" si="2">BV6+BW6+BX6+BY6-BZ6</f>
        <v>0</v>
      </c>
      <c r="CB6" s="258"/>
      <c r="CC6" s="810">
        <f>CH5</f>
        <v>61.6</v>
      </c>
      <c r="CD6" s="810">
        <f>N6</f>
        <v>0</v>
      </c>
      <c r="CE6" s="811"/>
      <c r="CF6" s="811"/>
      <c r="CG6" s="498">
        <f>'BPA Product '!AN6</f>
        <v>0</v>
      </c>
      <c r="CH6" s="810">
        <f>CC6+CD6+CE6-CG6-CF6</f>
        <v>61.6</v>
      </c>
      <c r="CI6" s="258"/>
      <c r="CJ6" s="810">
        <f>CO5</f>
        <v>0</v>
      </c>
      <c r="CK6" s="810">
        <f t="shared" ref="CK6:CK36" si="3">L6</f>
        <v>0</v>
      </c>
      <c r="CL6" s="811"/>
      <c r="CM6" s="811"/>
      <c r="CN6" s="498">
        <f>'BPA Product '!AS6</f>
        <v>0</v>
      </c>
      <c r="CO6" s="810">
        <f>CJ6+CK6+CL6-CN6-CM6</f>
        <v>0</v>
      </c>
      <c r="CP6" s="258"/>
      <c r="CQ6" s="810">
        <f>CW5</f>
        <v>83.699999999999989</v>
      </c>
      <c r="CR6" s="810">
        <f t="shared" ref="CR6:CR36" si="4">M6</f>
        <v>0</v>
      </c>
      <c r="CS6" s="811"/>
      <c r="CT6" s="811"/>
      <c r="CU6" s="811"/>
      <c r="CV6" s="498">
        <f>'BPA Product '!AV6</f>
        <v>0</v>
      </c>
      <c r="CW6" s="259">
        <f>CQ6+CR6+CS6-CV6-CU6</f>
        <v>83.699999999999989</v>
      </c>
      <c r="CX6" s="258"/>
      <c r="CY6" s="810">
        <f>DE5</f>
        <v>0</v>
      </c>
      <c r="CZ6" s="810"/>
      <c r="DA6" s="811"/>
      <c r="DB6" s="811"/>
      <c r="DC6" s="811"/>
      <c r="DD6" s="498">
        <f>'BPA Product '!AW6</f>
        <v>0</v>
      </c>
      <c r="DE6" s="259">
        <f>CY6+CZ6+DA6-DD6-DC6</f>
        <v>0</v>
      </c>
      <c r="DF6" s="258"/>
      <c r="DG6" s="259">
        <f>DL5</f>
        <v>0</v>
      </c>
      <c r="DH6" s="260">
        <f t="shared" ref="DH6:DH36" si="5">AA6</f>
        <v>0</v>
      </c>
      <c r="DI6" s="631"/>
      <c r="DJ6" s="639"/>
      <c r="DK6" s="260">
        <f>'BPA Product '!AX6</f>
        <v>0</v>
      </c>
      <c r="DL6" s="259">
        <f>DG6+DH6+DI6-DJ6-DK6</f>
        <v>0</v>
      </c>
      <c r="DM6" s="258"/>
      <c r="DN6" s="259">
        <f>DS5</f>
        <v>0</v>
      </c>
      <c r="DO6" s="260">
        <f t="shared" ref="DO6:DO36" si="6">AB6</f>
        <v>0</v>
      </c>
      <c r="DP6" s="633"/>
      <c r="DQ6" s="1358"/>
      <c r="DR6" s="260">
        <f>'BPA Product '!AY6</f>
        <v>0</v>
      </c>
      <c r="DS6" s="259">
        <f>DN6+DO6+DP6-DQ6-DR6</f>
        <v>0</v>
      </c>
      <c r="DT6" s="258"/>
      <c r="DU6" s="259">
        <f>DZ5</f>
        <v>-1.7763568394002505E-14</v>
      </c>
      <c r="DV6" s="260">
        <f t="shared" ref="DV6:DV36" si="7">AC6</f>
        <v>0</v>
      </c>
      <c r="DW6" s="631"/>
      <c r="DX6" s="639"/>
      <c r="DY6" s="260">
        <f>'BPA Product '!AZ6</f>
        <v>0</v>
      </c>
      <c r="DZ6" s="259">
        <f>DU6+DV6+DW6-DX6-DY6</f>
        <v>-1.7763568394002505E-14</v>
      </c>
      <c r="EA6" s="258"/>
      <c r="EB6" s="263">
        <f>EG5</f>
        <v>0</v>
      </c>
      <c r="EC6" s="263">
        <f t="shared" ref="EC6:EC36" si="8">AH6</f>
        <v>0</v>
      </c>
      <c r="ED6" s="639"/>
      <c r="EE6" s="639"/>
      <c r="EF6" s="263">
        <f>'BPA Product '!BA6</f>
        <v>0</v>
      </c>
      <c r="EG6" s="685">
        <f>EB6+EC6+ED6-EE6-EF6</f>
        <v>0</v>
      </c>
      <c r="EH6" s="258"/>
      <c r="EI6" s="263">
        <f>EN5</f>
        <v>0</v>
      </c>
      <c r="EJ6" s="263">
        <f t="shared" ref="EJ6:EJ36" si="9">AI6</f>
        <v>0</v>
      </c>
      <c r="EK6" s="639"/>
      <c r="EL6" s="639"/>
      <c r="EM6" s="263">
        <f>'BPA Product '!BB6</f>
        <v>0</v>
      </c>
      <c r="EN6" s="685">
        <f>EI6+EJ6+EK6-EL6-EM6</f>
        <v>0</v>
      </c>
      <c r="EO6" s="258"/>
      <c r="EP6" s="685">
        <f>EU5</f>
        <v>0</v>
      </c>
      <c r="EQ6" s="663">
        <f t="shared" ref="EQ6:EQ36" si="10">AJ6</f>
        <v>0</v>
      </c>
      <c r="ER6" s="664"/>
      <c r="ES6" s="664"/>
      <c r="ET6" s="809">
        <f>'BPA Product '!BC6</f>
        <v>0</v>
      </c>
      <c r="EU6" s="685">
        <f>EP6+EQ6+ER6-ES6-ET6</f>
        <v>0</v>
      </c>
      <c r="EV6" s="258"/>
    </row>
    <row r="7" spans="1:152">
      <c r="A7" s="257">
        <f>A6+1</f>
        <v>43801</v>
      </c>
      <c r="B7" s="261">
        <f t="shared" ref="B7:B33" si="11">Q6</f>
        <v>0</v>
      </c>
      <c r="C7" s="501">
        <f>'BPA Product '!L7+'BPA Product '!O7-D7</f>
        <v>491.71999999999997</v>
      </c>
      <c r="D7" s="267">
        <f t="shared" ref="D7:D36" si="12">DJ7+DX7+EE7+ES7+EL7+DC7+DQ7+CU7</f>
        <v>0</v>
      </c>
      <c r="E7" s="812">
        <f t="shared" ref="E7:E33" si="13">D7+C7</f>
        <v>491.71999999999997</v>
      </c>
      <c r="F7" s="259">
        <f>'BPA Product '!Q7</f>
        <v>0</v>
      </c>
      <c r="G7" s="259">
        <f>'BPA Product '!R7</f>
        <v>0</v>
      </c>
      <c r="H7" s="543">
        <f>'BPA Product '!S7</f>
        <v>0</v>
      </c>
      <c r="I7" s="630">
        <f>'BPA Product '!U7</f>
        <v>0</v>
      </c>
      <c r="J7" s="630">
        <f>'BPA Product '!V7</f>
        <v>473.4</v>
      </c>
      <c r="K7" s="630">
        <f>'BPA Product '!X7</f>
        <v>0</v>
      </c>
      <c r="L7" s="543">
        <f>'BPA Product '!AG7</f>
        <v>0</v>
      </c>
      <c r="M7" s="543">
        <f>'BPA Product '!AF7</f>
        <v>0</v>
      </c>
      <c r="N7" s="543">
        <f>'BPA Product '!T7</f>
        <v>0</v>
      </c>
      <c r="O7" s="498">
        <f>'BPA Product '!AH7+'BPA Product '!AI7</f>
        <v>18.32</v>
      </c>
      <c r="P7" s="498"/>
      <c r="Q7" s="259">
        <f t="shared" ref="Q7:Q35" si="14">(B7+E7-SUM(F7:O7))+P7</f>
        <v>0</v>
      </c>
      <c r="R7" s="360"/>
      <c r="S7" s="498">
        <f t="shared" ref="S7:S33" si="15">W6</f>
        <v>649.03999999999917</v>
      </c>
      <c r="T7" s="498">
        <f t="shared" ref="T7:T33" si="16">O7</f>
        <v>18.32</v>
      </c>
      <c r="U7" s="508">
        <f>'BPA Product '!BD7+'BPA Product '!BE7</f>
        <v>164.79</v>
      </c>
      <c r="V7" s="508">
        <f>'BPA Product '!AJ7</f>
        <v>0</v>
      </c>
      <c r="W7" s="498">
        <f t="shared" ref="W7:W33" si="17">S7+T7-U7-V7</f>
        <v>502.56999999999925</v>
      </c>
      <c r="X7" s="507"/>
      <c r="Y7" s="259">
        <f t="shared" ref="Y7:Y36" si="18">AD6</f>
        <v>0</v>
      </c>
      <c r="Z7" s="259">
        <f>'BPA Product '!M7</f>
        <v>0</v>
      </c>
      <c r="AA7" s="260">
        <f>'BPA Product '!Y7</f>
        <v>0</v>
      </c>
      <c r="AB7" s="260">
        <f>'BPA Product '!Z7</f>
        <v>0</v>
      </c>
      <c r="AC7" s="260">
        <f>'BPA Product '!AA7</f>
        <v>0</v>
      </c>
      <c r="AD7" s="259">
        <f t="shared" ref="AD7:AD36" si="19">Y7+Z7-AA7-AC7-AB7</f>
        <v>0</v>
      </c>
      <c r="AE7" s="360"/>
      <c r="AF7" s="259">
        <f t="shared" ref="AF7:AF33" si="20">AK6</f>
        <v>0</v>
      </c>
      <c r="AG7" s="259">
        <f>'BPA Product '!N7</f>
        <v>0</v>
      </c>
      <c r="AH7" s="260">
        <f>'BPA Product '!AB7</f>
        <v>0</v>
      </c>
      <c r="AI7" s="260">
        <f>'BPA Product '!AC7</f>
        <v>0</v>
      </c>
      <c r="AJ7" s="260">
        <f>'BPA Product '!AD7</f>
        <v>0</v>
      </c>
      <c r="AK7" s="259">
        <f t="shared" ref="AK7:AK36" si="21">AF7+AG7-AH7-AJ7</f>
        <v>0</v>
      </c>
      <c r="AL7" s="258"/>
      <c r="AM7" s="259">
        <f t="shared" ref="AM7:AM36" si="22">AR6</f>
        <v>486</v>
      </c>
      <c r="AN7" s="259">
        <f t="shared" ref="AN7:AN36" si="23">I7</f>
        <v>0</v>
      </c>
      <c r="AO7" s="633"/>
      <c r="AP7" s="633"/>
      <c r="AQ7" s="259">
        <f>'BPA Product '!AQ7</f>
        <v>0</v>
      </c>
      <c r="AR7" s="259">
        <f t="shared" ref="AR7:AR36" si="24">AM7+AN7+AO7-AQ7-AP7</f>
        <v>486</v>
      </c>
      <c r="AS7" s="258"/>
      <c r="AT7" s="259">
        <f t="shared" ref="AT7:AT36" si="25">AY6</f>
        <v>2023.2000000000057</v>
      </c>
      <c r="AU7" s="259">
        <f t="shared" ref="AU7:AU36" si="26">J7</f>
        <v>473.4</v>
      </c>
      <c r="AV7" s="1363"/>
      <c r="AW7" s="1363"/>
      <c r="AX7" s="259">
        <f>'BPA Product '!AR7</f>
        <v>0</v>
      </c>
      <c r="AY7" s="259">
        <f t="shared" ref="AY7:AY36" si="27">AT7+AU7+AV7-AX7-AW7</f>
        <v>2496.6000000000058</v>
      </c>
      <c r="AZ7" s="258"/>
      <c r="BA7" s="260">
        <f t="shared" ref="BA7:BA36" si="28">BF6</f>
        <v>0</v>
      </c>
      <c r="BB7" s="259">
        <f t="shared" ref="BB7:BB36" si="29">K7</f>
        <v>0</v>
      </c>
      <c r="BC7" s="637"/>
      <c r="BD7" s="636"/>
      <c r="BE7" s="685">
        <f>'BPA Product '!AS7</f>
        <v>0</v>
      </c>
      <c r="BF7" s="259">
        <f t="shared" ref="BF7:BF36" si="30">BA7+BB7+BC7-BD7-BE7</f>
        <v>0</v>
      </c>
      <c r="BG7" s="258"/>
      <c r="BH7" s="260">
        <f t="shared" ref="BH7:BH33" si="31">BM6</f>
        <v>-2.9842794901924208E-12</v>
      </c>
      <c r="BI7" s="259">
        <f t="shared" si="0"/>
        <v>0</v>
      </c>
      <c r="BJ7" s="633"/>
      <c r="BK7" s="633"/>
      <c r="BL7" s="259">
        <f>'BPA Product '!AM7</f>
        <v>0</v>
      </c>
      <c r="BM7" s="259">
        <f t="shared" ref="BM7:BM35" si="32">BH7+BI7+BJ7-BL7-BK7</f>
        <v>-2.9842794901924208E-12</v>
      </c>
      <c r="BN7" s="258"/>
      <c r="BO7" s="259">
        <f t="shared" ref="BO7:BO36" si="33">BT6</f>
        <v>4.5474735088646412E-13</v>
      </c>
      <c r="BP7" s="259">
        <f t="shared" ref="BP7:BP36" si="34">G7</f>
        <v>0</v>
      </c>
      <c r="BQ7" s="637"/>
      <c r="BR7" s="636"/>
      <c r="BS7" s="259">
        <f>'BPA Product '!AO7</f>
        <v>0</v>
      </c>
      <c r="BT7" s="259">
        <f t="shared" ref="BT7" si="35">BO7+BP7+BQ7-BS7-BR7</f>
        <v>4.5474735088646412E-13</v>
      </c>
      <c r="BU7" s="258"/>
      <c r="BV7" s="1161">
        <f t="shared" ref="BV7:BV36" si="36">CA6</f>
        <v>0</v>
      </c>
      <c r="BW7" s="259">
        <f t="shared" si="1"/>
        <v>0</v>
      </c>
      <c r="BX7" s="637"/>
      <c r="BY7" s="636"/>
      <c r="BZ7" s="685">
        <f>'BPA Product '!AP7</f>
        <v>0</v>
      </c>
      <c r="CA7" s="259">
        <f t="shared" si="2"/>
        <v>0</v>
      </c>
      <c r="CB7" s="258"/>
      <c r="CC7" s="810">
        <f t="shared" ref="CC7:CC36" si="37">CH6</f>
        <v>61.6</v>
      </c>
      <c r="CD7" s="810">
        <f t="shared" ref="CD7:CD36" si="38">N7</f>
        <v>0</v>
      </c>
      <c r="CE7" s="811"/>
      <c r="CF7" s="811"/>
      <c r="CG7" s="498">
        <f>'BPA Product '!AN7</f>
        <v>0</v>
      </c>
      <c r="CH7" s="810">
        <f t="shared" ref="CH7:CH36" si="39">CC7+CD7+CE7-CG7-CF7</f>
        <v>61.6</v>
      </c>
      <c r="CI7" s="258"/>
      <c r="CJ7" s="810">
        <f t="shared" ref="CJ7:CJ36" si="40">CO6</f>
        <v>0</v>
      </c>
      <c r="CK7" s="810">
        <f t="shared" si="3"/>
        <v>0</v>
      </c>
      <c r="CL7" s="811"/>
      <c r="CM7" s="811"/>
      <c r="CN7" s="498">
        <f>'BPA Product '!AS7</f>
        <v>0</v>
      </c>
      <c r="CO7" s="810">
        <f t="shared" ref="CO7:CO36" si="41">CJ7+CK7+CL7-CN7-CM7</f>
        <v>0</v>
      </c>
      <c r="CP7" s="258"/>
      <c r="CQ7" s="810">
        <f t="shared" ref="CQ7:CQ36" si="42">CW6</f>
        <v>83.699999999999989</v>
      </c>
      <c r="CR7" s="810">
        <f t="shared" si="4"/>
        <v>0</v>
      </c>
      <c r="CS7" s="811"/>
      <c r="CT7" s="811"/>
      <c r="CU7" s="811"/>
      <c r="CV7" s="498">
        <f>'BPA Product '!AV7</f>
        <v>0</v>
      </c>
      <c r="CW7" s="259">
        <f t="shared" ref="CW7:CW36" si="43">CQ7+CR7+CS7-CV7-CU7</f>
        <v>83.699999999999989</v>
      </c>
      <c r="CX7" s="258"/>
      <c r="CY7" s="810">
        <f t="shared" ref="CY7:CY36" si="44">DE6</f>
        <v>0</v>
      </c>
      <c r="CZ7" s="810"/>
      <c r="DA7" s="811"/>
      <c r="DB7" s="811"/>
      <c r="DC7" s="811"/>
      <c r="DD7" s="498">
        <f>'BPA Product '!AW7</f>
        <v>0</v>
      </c>
      <c r="DE7" s="259">
        <f t="shared" ref="DE7:DE36" si="45">CY7+CZ7+DA7-DD7-DC7</f>
        <v>0</v>
      </c>
      <c r="DF7" s="258"/>
      <c r="DG7" s="259">
        <f t="shared" ref="DG7:DG33" si="46">DL6</f>
        <v>0</v>
      </c>
      <c r="DH7" s="260">
        <f t="shared" si="5"/>
        <v>0</v>
      </c>
      <c r="DI7" s="631"/>
      <c r="DJ7" s="639"/>
      <c r="DK7" s="260">
        <f>'BPA Product '!AX7</f>
        <v>0</v>
      </c>
      <c r="DL7" s="259">
        <f t="shared" ref="DL7:DL36" si="47">DG7+DH7+DI7-DJ7-DK7</f>
        <v>0</v>
      </c>
      <c r="DM7" s="258"/>
      <c r="DN7" s="259">
        <f t="shared" ref="DN7:DN36" si="48">DS6</f>
        <v>0</v>
      </c>
      <c r="DO7" s="260">
        <f t="shared" si="6"/>
        <v>0</v>
      </c>
      <c r="DP7" s="633"/>
      <c r="DQ7" s="1358"/>
      <c r="DR7" s="260">
        <f>'BPA Product '!AY7</f>
        <v>0</v>
      </c>
      <c r="DS7" s="259">
        <f t="shared" ref="DS7:DS36" si="49">DN7+DO7+DP7-DQ7-DR7</f>
        <v>0</v>
      </c>
      <c r="DT7" s="258"/>
      <c r="DU7" s="259">
        <f t="shared" ref="DU7:DU33" si="50">DZ6</f>
        <v>-1.7763568394002505E-14</v>
      </c>
      <c r="DV7" s="260">
        <f t="shared" si="7"/>
        <v>0</v>
      </c>
      <c r="DW7" s="631"/>
      <c r="DX7" s="639"/>
      <c r="DY7" s="260">
        <f>'BPA Product '!AZ7</f>
        <v>0</v>
      </c>
      <c r="DZ7" s="259">
        <f t="shared" ref="DZ7:DZ36" si="51">DU7+DV7+DW7-DX7-DY7</f>
        <v>-1.7763568394002505E-14</v>
      </c>
      <c r="EA7" s="258"/>
      <c r="EB7" s="263">
        <f t="shared" ref="EB7:EB36" si="52">EG6</f>
        <v>0</v>
      </c>
      <c r="EC7" s="263">
        <f t="shared" si="8"/>
        <v>0</v>
      </c>
      <c r="ED7" s="639"/>
      <c r="EE7" s="639"/>
      <c r="EF7" s="263">
        <f>'BPA Product '!BA7</f>
        <v>0</v>
      </c>
      <c r="EG7" s="685">
        <f t="shared" ref="EG7:EG36" si="53">EB7+EC7+ED7-EE7-EF7</f>
        <v>0</v>
      </c>
      <c r="EH7" s="258"/>
      <c r="EI7" s="263">
        <f t="shared" ref="EI7:EI36" si="54">EN6</f>
        <v>0</v>
      </c>
      <c r="EJ7" s="263">
        <f t="shared" si="9"/>
        <v>0</v>
      </c>
      <c r="EK7" s="639"/>
      <c r="EL7" s="639"/>
      <c r="EM7" s="263">
        <f>'BPA Product '!BB7</f>
        <v>0</v>
      </c>
      <c r="EN7" s="685">
        <f t="shared" ref="EN7:EN36" si="55">EI7+EJ7+EK7-EL7-EM7</f>
        <v>0</v>
      </c>
      <c r="EO7" s="258"/>
      <c r="EP7" s="685">
        <f t="shared" ref="EP7:EP36" si="56">EU6</f>
        <v>0</v>
      </c>
      <c r="EQ7" s="663">
        <f t="shared" si="10"/>
        <v>0</v>
      </c>
      <c r="ER7" s="664"/>
      <c r="ES7" s="664"/>
      <c r="ET7" s="809">
        <f>'BPA Product '!BC7</f>
        <v>0</v>
      </c>
      <c r="EU7" s="685">
        <f t="shared" ref="EU7:EU36" si="57">EP7+EQ7+ER7-ES7-ET7</f>
        <v>0</v>
      </c>
      <c r="EV7" s="258"/>
    </row>
    <row r="8" spans="1:152">
      <c r="A8" s="257">
        <f t="shared" ref="A8:A36" si="58">A7+1</f>
        <v>43802</v>
      </c>
      <c r="B8" s="261">
        <f t="shared" si="11"/>
        <v>0</v>
      </c>
      <c r="C8" s="501">
        <f>'BPA Product '!L8+'BPA Product '!O8-D8</f>
        <v>475.86</v>
      </c>
      <c r="D8" s="267">
        <f t="shared" si="12"/>
        <v>0</v>
      </c>
      <c r="E8" s="812">
        <f t="shared" si="13"/>
        <v>475.86</v>
      </c>
      <c r="F8" s="259">
        <f>'BPA Product '!Q8</f>
        <v>0</v>
      </c>
      <c r="G8" s="259">
        <f>'BPA Product '!R8</f>
        <v>0</v>
      </c>
      <c r="H8" s="543">
        <f>'BPA Product '!S8</f>
        <v>0</v>
      </c>
      <c r="I8" s="630">
        <f>'BPA Product '!U8</f>
        <v>0</v>
      </c>
      <c r="J8" s="630">
        <f>'BPA Product '!V8</f>
        <v>10.800000000000011</v>
      </c>
      <c r="K8" s="630">
        <f>'BPA Product '!X8</f>
        <v>0</v>
      </c>
      <c r="L8" s="543">
        <f>'BPA Product '!AG8</f>
        <v>0</v>
      </c>
      <c r="M8" s="543">
        <f>'BPA Product '!AF8</f>
        <v>4.5</v>
      </c>
      <c r="N8" s="543">
        <f>'BPA Product '!T8</f>
        <v>118.4</v>
      </c>
      <c r="O8" s="498">
        <f>'BPA Product '!AH8+'BPA Product '!AI8</f>
        <v>342.16</v>
      </c>
      <c r="P8" s="498"/>
      <c r="Q8" s="259">
        <f t="shared" si="14"/>
        <v>0</v>
      </c>
      <c r="R8" s="360"/>
      <c r="S8" s="498">
        <f t="shared" si="15"/>
        <v>502.56999999999925</v>
      </c>
      <c r="T8" s="498">
        <f t="shared" si="16"/>
        <v>342.16</v>
      </c>
      <c r="U8" s="508">
        <f>'BPA Product '!BD8+'BPA Product '!BE8</f>
        <v>0</v>
      </c>
      <c r="V8" s="508">
        <f>'BPA Product '!AJ8</f>
        <v>0</v>
      </c>
      <c r="W8" s="498">
        <f t="shared" si="17"/>
        <v>844.72999999999934</v>
      </c>
      <c r="X8" s="507"/>
      <c r="Y8" s="259">
        <f t="shared" si="18"/>
        <v>0</v>
      </c>
      <c r="Z8" s="259">
        <f>'BPA Product '!M8</f>
        <v>0</v>
      </c>
      <c r="AA8" s="260">
        <f>'BPA Product '!Y8</f>
        <v>0</v>
      </c>
      <c r="AB8" s="260">
        <f>'BPA Product '!Z8</f>
        <v>0</v>
      </c>
      <c r="AC8" s="260">
        <f>'BPA Product '!AA8</f>
        <v>0</v>
      </c>
      <c r="AD8" s="259">
        <f t="shared" si="19"/>
        <v>0</v>
      </c>
      <c r="AE8" s="360"/>
      <c r="AF8" s="259">
        <f t="shared" si="20"/>
        <v>0</v>
      </c>
      <c r="AG8" s="259">
        <f>'BPA Product '!N8</f>
        <v>0</v>
      </c>
      <c r="AH8" s="260">
        <f>'BPA Product '!AB8</f>
        <v>0</v>
      </c>
      <c r="AI8" s="260">
        <f>'BPA Product '!AC8</f>
        <v>0</v>
      </c>
      <c r="AJ8" s="260">
        <f>'BPA Product '!AD8</f>
        <v>0</v>
      </c>
      <c r="AK8" s="259">
        <f t="shared" si="21"/>
        <v>0</v>
      </c>
      <c r="AL8" s="258"/>
      <c r="AM8" s="259">
        <f t="shared" si="22"/>
        <v>486</v>
      </c>
      <c r="AN8" s="259">
        <f t="shared" si="23"/>
        <v>0</v>
      </c>
      <c r="AO8" s="633"/>
      <c r="AP8" s="633"/>
      <c r="AQ8" s="259">
        <f>'BPA Product '!AQ8</f>
        <v>0</v>
      </c>
      <c r="AR8" s="259">
        <f t="shared" si="24"/>
        <v>486</v>
      </c>
      <c r="AS8" s="258"/>
      <c r="AT8" s="259">
        <f t="shared" si="25"/>
        <v>2496.6000000000058</v>
      </c>
      <c r="AU8" s="259">
        <f t="shared" si="26"/>
        <v>10.800000000000011</v>
      </c>
      <c r="AV8" s="1363"/>
      <c r="AW8" s="1363"/>
      <c r="AX8" s="259">
        <f>'BPA Product '!AR8</f>
        <v>1008</v>
      </c>
      <c r="AY8" s="259">
        <f t="shared" si="27"/>
        <v>1499.400000000006</v>
      </c>
      <c r="AZ8" s="258"/>
      <c r="BA8" s="260">
        <f t="shared" si="28"/>
        <v>0</v>
      </c>
      <c r="BB8" s="259">
        <f t="shared" si="29"/>
        <v>0</v>
      </c>
      <c r="BC8" s="637"/>
      <c r="BD8" s="636"/>
      <c r="BE8" s="685">
        <f>'BPA Product '!AS8</f>
        <v>0</v>
      </c>
      <c r="BF8" s="259">
        <f>BA8+BB8+BC8-BD8-BE8</f>
        <v>0</v>
      </c>
      <c r="BG8" s="258"/>
      <c r="BH8" s="260">
        <f t="shared" si="31"/>
        <v>-2.9842794901924208E-12</v>
      </c>
      <c r="BI8" s="259">
        <f t="shared" si="0"/>
        <v>0</v>
      </c>
      <c r="BJ8" s="633"/>
      <c r="BK8" s="633"/>
      <c r="BL8" s="259">
        <f>'BPA Product '!AM8</f>
        <v>0</v>
      </c>
      <c r="BM8" s="259">
        <f>BH8+BI8+BJ8-BL8-BK8</f>
        <v>-2.9842794901924208E-12</v>
      </c>
      <c r="BN8" s="258"/>
      <c r="BO8" s="259">
        <f t="shared" si="33"/>
        <v>4.5474735088646412E-13</v>
      </c>
      <c r="BP8" s="259">
        <f t="shared" si="34"/>
        <v>0</v>
      </c>
      <c r="BQ8" s="637"/>
      <c r="BR8" s="636"/>
      <c r="BS8" s="259">
        <f>'BPA Product '!AO8</f>
        <v>0</v>
      </c>
      <c r="BT8" s="259">
        <f>BO8+BP8+BQ8-BS8-BR8</f>
        <v>4.5474735088646412E-13</v>
      </c>
      <c r="BU8" s="258"/>
      <c r="BV8" s="1161">
        <f t="shared" si="36"/>
        <v>0</v>
      </c>
      <c r="BW8" s="259">
        <f t="shared" si="1"/>
        <v>0</v>
      </c>
      <c r="BX8" s="637"/>
      <c r="BY8" s="636"/>
      <c r="BZ8" s="685">
        <f>'BPA Product '!AP8</f>
        <v>0</v>
      </c>
      <c r="CA8" s="259">
        <f t="shared" si="2"/>
        <v>0</v>
      </c>
      <c r="CB8" s="258"/>
      <c r="CC8" s="810">
        <f t="shared" si="37"/>
        <v>61.6</v>
      </c>
      <c r="CD8" s="810">
        <f t="shared" si="38"/>
        <v>118.4</v>
      </c>
      <c r="CE8" s="811"/>
      <c r="CF8" s="811"/>
      <c r="CG8" s="498">
        <f>'BPA Product '!AN8</f>
        <v>0</v>
      </c>
      <c r="CH8" s="810">
        <f t="shared" si="39"/>
        <v>180</v>
      </c>
      <c r="CI8" s="258"/>
      <c r="CJ8" s="810">
        <f t="shared" si="40"/>
        <v>0</v>
      </c>
      <c r="CK8" s="810">
        <f t="shared" si="3"/>
        <v>0</v>
      </c>
      <c r="CL8" s="811"/>
      <c r="CM8" s="811"/>
      <c r="CN8" s="498">
        <f>'BPA Product '!AS8</f>
        <v>0</v>
      </c>
      <c r="CO8" s="810">
        <f t="shared" si="41"/>
        <v>0</v>
      </c>
      <c r="CP8" s="258"/>
      <c r="CQ8" s="810">
        <f t="shared" si="42"/>
        <v>83.699999999999989</v>
      </c>
      <c r="CR8" s="810">
        <f t="shared" si="4"/>
        <v>4.5</v>
      </c>
      <c r="CS8" s="811"/>
      <c r="CT8" s="811"/>
      <c r="CU8" s="811"/>
      <c r="CV8" s="498">
        <f>'BPA Product '!AV8</f>
        <v>0</v>
      </c>
      <c r="CW8" s="259">
        <f t="shared" si="43"/>
        <v>88.199999999999989</v>
      </c>
      <c r="CX8" s="258"/>
      <c r="CY8" s="810">
        <f t="shared" si="44"/>
        <v>0</v>
      </c>
      <c r="CZ8" s="810"/>
      <c r="DA8" s="811"/>
      <c r="DB8" s="811"/>
      <c r="DC8" s="811"/>
      <c r="DD8" s="498">
        <f>'BPA Product '!AW8</f>
        <v>0</v>
      </c>
      <c r="DE8" s="259">
        <f t="shared" si="45"/>
        <v>0</v>
      </c>
      <c r="DF8" s="258"/>
      <c r="DG8" s="259">
        <f t="shared" si="46"/>
        <v>0</v>
      </c>
      <c r="DH8" s="260">
        <f t="shared" si="5"/>
        <v>0</v>
      </c>
      <c r="DI8" s="631"/>
      <c r="DJ8" s="639"/>
      <c r="DK8" s="260">
        <f>'BPA Product '!AX8</f>
        <v>0</v>
      </c>
      <c r="DL8" s="259">
        <f t="shared" si="47"/>
        <v>0</v>
      </c>
      <c r="DM8" s="258"/>
      <c r="DN8" s="259">
        <f t="shared" si="48"/>
        <v>0</v>
      </c>
      <c r="DO8" s="260">
        <f t="shared" si="6"/>
        <v>0</v>
      </c>
      <c r="DP8" s="633"/>
      <c r="DQ8" s="1358"/>
      <c r="DR8" s="260">
        <f>'BPA Product '!AY8</f>
        <v>0</v>
      </c>
      <c r="DS8" s="259">
        <f t="shared" si="49"/>
        <v>0</v>
      </c>
      <c r="DT8" s="258"/>
      <c r="DU8" s="259">
        <f t="shared" si="50"/>
        <v>-1.7763568394002505E-14</v>
      </c>
      <c r="DV8" s="260">
        <f t="shared" si="7"/>
        <v>0</v>
      </c>
      <c r="DW8" s="631"/>
      <c r="DX8" s="639"/>
      <c r="DY8" s="260">
        <f>'BPA Product '!AZ8</f>
        <v>0</v>
      </c>
      <c r="DZ8" s="259">
        <f t="shared" si="51"/>
        <v>-1.7763568394002505E-14</v>
      </c>
      <c r="EA8" s="258"/>
      <c r="EB8" s="263">
        <f t="shared" si="52"/>
        <v>0</v>
      </c>
      <c r="EC8" s="263">
        <f t="shared" si="8"/>
        <v>0</v>
      </c>
      <c r="ED8" s="639"/>
      <c r="EE8" s="639"/>
      <c r="EF8" s="263">
        <f>'BPA Product '!BA8</f>
        <v>0</v>
      </c>
      <c r="EG8" s="685">
        <f t="shared" si="53"/>
        <v>0</v>
      </c>
      <c r="EH8" s="258"/>
      <c r="EI8" s="263">
        <f t="shared" si="54"/>
        <v>0</v>
      </c>
      <c r="EJ8" s="263">
        <f t="shared" si="9"/>
        <v>0</v>
      </c>
      <c r="EK8" s="639"/>
      <c r="EL8" s="639"/>
      <c r="EM8" s="263">
        <f>'BPA Product '!BB8</f>
        <v>0</v>
      </c>
      <c r="EN8" s="685">
        <f t="shared" si="55"/>
        <v>0</v>
      </c>
      <c r="EO8" s="258"/>
      <c r="EP8" s="685">
        <f t="shared" si="56"/>
        <v>0</v>
      </c>
      <c r="EQ8" s="663">
        <f t="shared" si="10"/>
        <v>0</v>
      </c>
      <c r="ER8" s="664"/>
      <c r="ES8" s="664"/>
      <c r="ET8" s="809">
        <f>'BPA Product '!BC8</f>
        <v>0</v>
      </c>
      <c r="EU8" s="685">
        <f t="shared" si="57"/>
        <v>0</v>
      </c>
      <c r="EV8" s="258"/>
    </row>
    <row r="9" spans="1:152">
      <c r="A9" s="257">
        <f t="shared" si="58"/>
        <v>43803</v>
      </c>
      <c r="B9" s="261">
        <f t="shared" si="11"/>
        <v>0</v>
      </c>
      <c r="C9" s="501">
        <f>'BPA Product '!L9+'BPA Product '!O9-D9</f>
        <v>486</v>
      </c>
      <c r="D9" s="267">
        <f t="shared" si="12"/>
        <v>0</v>
      </c>
      <c r="E9" s="812">
        <f t="shared" si="13"/>
        <v>486</v>
      </c>
      <c r="F9" s="259">
        <f>'BPA Product '!Q9</f>
        <v>0</v>
      </c>
      <c r="G9" s="259">
        <f>'BPA Product '!R9</f>
        <v>0</v>
      </c>
      <c r="H9" s="543">
        <f>'BPA Product '!S9</f>
        <v>0</v>
      </c>
      <c r="I9" s="630">
        <f>'BPA Product '!U9</f>
        <v>264.60000000000002</v>
      </c>
      <c r="J9" s="630">
        <f>'BPA Product '!V9</f>
        <v>221.39999999999998</v>
      </c>
      <c r="K9" s="630">
        <f>'BPA Product '!X9</f>
        <v>0</v>
      </c>
      <c r="L9" s="543">
        <f>'BPA Product '!AG9</f>
        <v>0</v>
      </c>
      <c r="M9" s="543">
        <f>'BPA Product '!AF9</f>
        <v>0</v>
      </c>
      <c r="N9" s="543">
        <f>'BPA Product '!T9</f>
        <v>0</v>
      </c>
      <c r="O9" s="498">
        <f>'BPA Product '!AH9+'BPA Product '!AI9</f>
        <v>0</v>
      </c>
      <c r="P9" s="498"/>
      <c r="Q9" s="259">
        <f t="shared" si="14"/>
        <v>0</v>
      </c>
      <c r="R9" s="360"/>
      <c r="S9" s="498">
        <f t="shared" si="15"/>
        <v>844.72999999999934</v>
      </c>
      <c r="T9" s="498">
        <f t="shared" si="16"/>
        <v>0</v>
      </c>
      <c r="U9" s="508">
        <f>'BPA Product '!BD9+'BPA Product '!BE9</f>
        <v>0</v>
      </c>
      <c r="V9" s="508">
        <f>'BPA Product '!AJ9</f>
        <v>0</v>
      </c>
      <c r="W9" s="498">
        <f t="shared" si="17"/>
        <v>844.72999999999934</v>
      </c>
      <c r="X9" s="507"/>
      <c r="Y9" s="259">
        <f t="shared" si="18"/>
        <v>0</v>
      </c>
      <c r="Z9" s="259">
        <f>'BPA Product '!M9</f>
        <v>0</v>
      </c>
      <c r="AA9" s="260">
        <f>'BPA Product '!Y9</f>
        <v>0</v>
      </c>
      <c r="AB9" s="260">
        <f>'BPA Product '!Z9</f>
        <v>0</v>
      </c>
      <c r="AC9" s="260">
        <f>'BPA Product '!AA9</f>
        <v>0</v>
      </c>
      <c r="AD9" s="259">
        <f t="shared" si="19"/>
        <v>0</v>
      </c>
      <c r="AE9" s="360"/>
      <c r="AF9" s="259">
        <f t="shared" si="20"/>
        <v>0</v>
      </c>
      <c r="AG9" s="259">
        <f>'BPA Product '!N9</f>
        <v>0</v>
      </c>
      <c r="AH9" s="260">
        <f>'BPA Product '!AB9</f>
        <v>0</v>
      </c>
      <c r="AI9" s="260">
        <f>'BPA Product '!AC9</f>
        <v>0</v>
      </c>
      <c r="AJ9" s="260">
        <f>'BPA Product '!AD9</f>
        <v>0</v>
      </c>
      <c r="AK9" s="259">
        <f t="shared" si="21"/>
        <v>0</v>
      </c>
      <c r="AL9" s="258"/>
      <c r="AM9" s="259">
        <f t="shared" si="22"/>
        <v>486</v>
      </c>
      <c r="AN9" s="259">
        <f t="shared" si="23"/>
        <v>264.60000000000002</v>
      </c>
      <c r="AO9" s="633"/>
      <c r="AP9" s="633"/>
      <c r="AQ9" s="259">
        <f>'BPA Product '!AQ9</f>
        <v>486</v>
      </c>
      <c r="AR9" s="259">
        <f t="shared" si="24"/>
        <v>264.60000000000002</v>
      </c>
      <c r="AS9" s="258"/>
      <c r="AT9" s="259">
        <f t="shared" si="25"/>
        <v>1499.400000000006</v>
      </c>
      <c r="AU9" s="259">
        <f t="shared" si="26"/>
        <v>221.39999999999998</v>
      </c>
      <c r="AV9" s="1363"/>
      <c r="AW9" s="1363"/>
      <c r="AX9" s="259">
        <f>'BPA Product '!AR9</f>
        <v>0</v>
      </c>
      <c r="AY9" s="259">
        <f t="shared" si="27"/>
        <v>1720.8000000000061</v>
      </c>
      <c r="AZ9" s="258"/>
      <c r="BA9" s="260">
        <f t="shared" si="28"/>
        <v>0</v>
      </c>
      <c r="BB9" s="259">
        <f t="shared" si="29"/>
        <v>0</v>
      </c>
      <c r="BC9" s="637"/>
      <c r="BD9" s="636"/>
      <c r="BE9" s="685">
        <f>'BPA Product '!AS9</f>
        <v>0</v>
      </c>
      <c r="BF9" s="259">
        <f t="shared" si="30"/>
        <v>0</v>
      </c>
      <c r="BG9" s="258"/>
      <c r="BH9" s="260">
        <f t="shared" si="31"/>
        <v>-2.9842794901924208E-12</v>
      </c>
      <c r="BI9" s="259">
        <f t="shared" si="0"/>
        <v>0</v>
      </c>
      <c r="BJ9" s="633"/>
      <c r="BK9" s="633"/>
      <c r="BL9" s="259">
        <f>'BPA Product '!AM9</f>
        <v>0</v>
      </c>
      <c r="BM9" s="259">
        <f t="shared" si="32"/>
        <v>-2.9842794901924208E-12</v>
      </c>
      <c r="BN9" s="258"/>
      <c r="BO9" s="259">
        <f t="shared" si="33"/>
        <v>4.5474735088646412E-13</v>
      </c>
      <c r="BP9" s="259">
        <f t="shared" si="34"/>
        <v>0</v>
      </c>
      <c r="BQ9" s="637"/>
      <c r="BR9" s="636"/>
      <c r="BS9" s="259">
        <f>'BPA Product '!AO9</f>
        <v>0</v>
      </c>
      <c r="BT9" s="259">
        <f t="shared" ref="BT9:BT35" si="59">BO9+BP9+BQ9-BS9-BR9</f>
        <v>4.5474735088646412E-13</v>
      </c>
      <c r="BU9" s="258"/>
      <c r="BV9" s="1161">
        <f t="shared" si="36"/>
        <v>0</v>
      </c>
      <c r="BW9" s="259">
        <f t="shared" si="1"/>
        <v>0</v>
      </c>
      <c r="BX9" s="637"/>
      <c r="BY9" s="636"/>
      <c r="BZ9" s="685">
        <f>'BPA Product '!AP9</f>
        <v>0</v>
      </c>
      <c r="CA9" s="259">
        <f t="shared" si="2"/>
        <v>0</v>
      </c>
      <c r="CB9" s="258"/>
      <c r="CC9" s="810">
        <f t="shared" si="37"/>
        <v>180</v>
      </c>
      <c r="CD9" s="810">
        <f t="shared" si="38"/>
        <v>0</v>
      </c>
      <c r="CE9" s="811"/>
      <c r="CF9" s="811"/>
      <c r="CG9" s="498">
        <f>'BPA Product '!AN9</f>
        <v>30</v>
      </c>
      <c r="CH9" s="810">
        <f t="shared" si="39"/>
        <v>150</v>
      </c>
      <c r="CI9" s="258"/>
      <c r="CJ9" s="810">
        <f t="shared" si="40"/>
        <v>0</v>
      </c>
      <c r="CK9" s="810">
        <f t="shared" si="3"/>
        <v>0</v>
      </c>
      <c r="CL9" s="811"/>
      <c r="CM9" s="811"/>
      <c r="CN9" s="498">
        <f>'BPA Product '!AS9</f>
        <v>0</v>
      </c>
      <c r="CO9" s="810">
        <f t="shared" si="41"/>
        <v>0</v>
      </c>
      <c r="CP9" s="258"/>
      <c r="CQ9" s="810">
        <f t="shared" si="42"/>
        <v>88.199999999999989</v>
      </c>
      <c r="CR9" s="810">
        <f t="shared" si="4"/>
        <v>0</v>
      </c>
      <c r="CS9" s="811"/>
      <c r="CT9" s="811"/>
      <c r="CU9" s="811"/>
      <c r="CV9" s="498">
        <f>'BPA Product '!AV9</f>
        <v>0</v>
      </c>
      <c r="CW9" s="259">
        <f t="shared" si="43"/>
        <v>88.199999999999989</v>
      </c>
      <c r="CX9" s="258"/>
      <c r="CY9" s="810">
        <f t="shared" si="44"/>
        <v>0</v>
      </c>
      <c r="CZ9" s="810"/>
      <c r="DA9" s="811"/>
      <c r="DB9" s="811"/>
      <c r="DC9" s="811"/>
      <c r="DD9" s="498">
        <f>'BPA Product '!AW9</f>
        <v>0</v>
      </c>
      <c r="DE9" s="259">
        <f t="shared" si="45"/>
        <v>0</v>
      </c>
      <c r="DF9" s="258"/>
      <c r="DG9" s="259">
        <f t="shared" si="46"/>
        <v>0</v>
      </c>
      <c r="DH9" s="260">
        <f t="shared" si="5"/>
        <v>0</v>
      </c>
      <c r="DI9" s="631"/>
      <c r="DJ9" s="639"/>
      <c r="DK9" s="260">
        <f>'BPA Product '!AX9</f>
        <v>0</v>
      </c>
      <c r="DL9" s="259">
        <f t="shared" si="47"/>
        <v>0</v>
      </c>
      <c r="DM9" s="258"/>
      <c r="DN9" s="259">
        <f t="shared" si="48"/>
        <v>0</v>
      </c>
      <c r="DO9" s="260">
        <f t="shared" si="6"/>
        <v>0</v>
      </c>
      <c r="DP9" s="633"/>
      <c r="DQ9" s="1358"/>
      <c r="DR9" s="260">
        <f>'BPA Product '!AY9</f>
        <v>0</v>
      </c>
      <c r="DS9" s="259">
        <f t="shared" si="49"/>
        <v>0</v>
      </c>
      <c r="DT9" s="258"/>
      <c r="DU9" s="259">
        <f t="shared" si="50"/>
        <v>-1.7763568394002505E-14</v>
      </c>
      <c r="DV9" s="260">
        <f t="shared" si="7"/>
        <v>0</v>
      </c>
      <c r="DW9" s="631"/>
      <c r="DX9" s="639"/>
      <c r="DY9" s="260">
        <f>'BPA Product '!AZ9</f>
        <v>0</v>
      </c>
      <c r="DZ9" s="259">
        <f t="shared" si="51"/>
        <v>-1.7763568394002505E-14</v>
      </c>
      <c r="EA9" s="258"/>
      <c r="EB9" s="263">
        <f t="shared" si="52"/>
        <v>0</v>
      </c>
      <c r="EC9" s="263">
        <f t="shared" si="8"/>
        <v>0</v>
      </c>
      <c r="ED9" s="639"/>
      <c r="EE9" s="639"/>
      <c r="EF9" s="263">
        <f>'BPA Product '!BA9</f>
        <v>0</v>
      </c>
      <c r="EG9" s="685">
        <f t="shared" si="53"/>
        <v>0</v>
      </c>
      <c r="EH9" s="258"/>
      <c r="EI9" s="263">
        <f t="shared" si="54"/>
        <v>0</v>
      </c>
      <c r="EJ9" s="263">
        <f t="shared" si="9"/>
        <v>0</v>
      </c>
      <c r="EK9" s="639"/>
      <c r="EL9" s="639"/>
      <c r="EM9" s="263">
        <f>'BPA Product '!BB9</f>
        <v>0</v>
      </c>
      <c r="EN9" s="685">
        <f t="shared" si="55"/>
        <v>0</v>
      </c>
      <c r="EO9" s="258"/>
      <c r="EP9" s="685">
        <f t="shared" si="56"/>
        <v>0</v>
      </c>
      <c r="EQ9" s="663">
        <f t="shared" si="10"/>
        <v>0</v>
      </c>
      <c r="ER9" s="664"/>
      <c r="ES9" s="664"/>
      <c r="ET9" s="809">
        <f>'BPA Product '!BC9</f>
        <v>0</v>
      </c>
      <c r="EU9" s="685">
        <f t="shared" si="57"/>
        <v>0</v>
      </c>
      <c r="EV9" s="258"/>
    </row>
    <row r="10" spans="1:152">
      <c r="A10" s="257">
        <f t="shared" si="58"/>
        <v>43804</v>
      </c>
      <c r="B10" s="261">
        <f t="shared" si="11"/>
        <v>0</v>
      </c>
      <c r="C10" s="501">
        <f>'BPA Product '!L10+'BPA Product '!O10-D10</f>
        <v>505.79999999999995</v>
      </c>
      <c r="D10" s="267">
        <f t="shared" si="12"/>
        <v>0</v>
      </c>
      <c r="E10" s="812">
        <f t="shared" si="13"/>
        <v>505.79999999999995</v>
      </c>
      <c r="F10" s="259">
        <f>'BPA Product '!Q10</f>
        <v>0</v>
      </c>
      <c r="G10" s="259">
        <f>'BPA Product '!R10</f>
        <v>0</v>
      </c>
      <c r="H10" s="543">
        <f>'BPA Product '!S10</f>
        <v>0</v>
      </c>
      <c r="I10" s="630">
        <f>'BPA Product '!U10</f>
        <v>257.39999999999998</v>
      </c>
      <c r="J10" s="630">
        <f>'BPA Product '!V10</f>
        <v>243</v>
      </c>
      <c r="K10" s="630">
        <f>'BPA Product '!X10</f>
        <v>0</v>
      </c>
      <c r="L10" s="543">
        <f>'BPA Product '!AG10</f>
        <v>0</v>
      </c>
      <c r="M10" s="543">
        <f>'BPA Product '!AF10</f>
        <v>5.4</v>
      </c>
      <c r="N10" s="543">
        <f>'BPA Product '!T10</f>
        <v>0</v>
      </c>
      <c r="O10" s="498">
        <f>'BPA Product '!AH10+'BPA Product '!AI10</f>
        <v>0</v>
      </c>
      <c r="P10" s="498"/>
      <c r="Q10" s="259">
        <f t="shared" si="14"/>
        <v>0</v>
      </c>
      <c r="R10" s="360"/>
      <c r="S10" s="498">
        <f t="shared" si="15"/>
        <v>844.72999999999934</v>
      </c>
      <c r="T10" s="498">
        <f t="shared" si="16"/>
        <v>0</v>
      </c>
      <c r="U10" s="508">
        <f>'BPA Product '!BD10+'BPA Product '!BE10</f>
        <v>502.57</v>
      </c>
      <c r="V10" s="508">
        <f>'BPA Product '!AJ10</f>
        <v>0</v>
      </c>
      <c r="W10" s="498">
        <f t="shared" si="17"/>
        <v>342.15999999999934</v>
      </c>
      <c r="X10" s="507"/>
      <c r="Y10" s="259">
        <f t="shared" si="18"/>
        <v>0</v>
      </c>
      <c r="Z10" s="259">
        <f>'BPA Product '!M10</f>
        <v>0</v>
      </c>
      <c r="AA10" s="260">
        <f>'BPA Product '!Y10</f>
        <v>0</v>
      </c>
      <c r="AB10" s="260">
        <f>'BPA Product '!Z10</f>
        <v>0</v>
      </c>
      <c r="AC10" s="260">
        <f>'BPA Product '!AA10</f>
        <v>0</v>
      </c>
      <c r="AD10" s="259">
        <f t="shared" si="19"/>
        <v>0</v>
      </c>
      <c r="AE10" s="360"/>
      <c r="AF10" s="259">
        <f t="shared" si="20"/>
        <v>0</v>
      </c>
      <c r="AG10" s="259">
        <f>'BPA Product '!N10</f>
        <v>0</v>
      </c>
      <c r="AH10" s="260">
        <f>'BPA Product '!AB10</f>
        <v>0</v>
      </c>
      <c r="AI10" s="260">
        <f>'BPA Product '!AC10</f>
        <v>0</v>
      </c>
      <c r="AJ10" s="260">
        <f>'BPA Product '!AD10</f>
        <v>0</v>
      </c>
      <c r="AK10" s="259">
        <f t="shared" si="21"/>
        <v>0</v>
      </c>
      <c r="AL10" s="258"/>
      <c r="AM10" s="259">
        <f t="shared" si="22"/>
        <v>264.60000000000002</v>
      </c>
      <c r="AN10" s="259">
        <f t="shared" si="23"/>
        <v>257.39999999999998</v>
      </c>
      <c r="AO10" s="633"/>
      <c r="AP10" s="633"/>
      <c r="AQ10" s="259">
        <f>'BPA Product '!AQ10</f>
        <v>0</v>
      </c>
      <c r="AR10" s="259">
        <f t="shared" si="24"/>
        <v>522</v>
      </c>
      <c r="AS10" s="258"/>
      <c r="AT10" s="259">
        <f t="shared" si="25"/>
        <v>1720.8000000000061</v>
      </c>
      <c r="AU10" s="259">
        <f t="shared" si="26"/>
        <v>243</v>
      </c>
      <c r="AV10" s="1363"/>
      <c r="AW10" s="1363"/>
      <c r="AX10" s="259">
        <f>'BPA Product '!AR10</f>
        <v>467.99999999999994</v>
      </c>
      <c r="AY10" s="259">
        <f t="shared" si="27"/>
        <v>1495.8000000000061</v>
      </c>
      <c r="AZ10" s="258"/>
      <c r="BA10" s="260">
        <f t="shared" si="28"/>
        <v>0</v>
      </c>
      <c r="BB10" s="259">
        <f t="shared" si="29"/>
        <v>0</v>
      </c>
      <c r="BC10" s="683"/>
      <c r="BD10" s="636"/>
      <c r="BE10" s="685">
        <f>'BPA Product '!AS10</f>
        <v>0</v>
      </c>
      <c r="BF10" s="259">
        <f t="shared" si="30"/>
        <v>0</v>
      </c>
      <c r="BG10" s="258"/>
      <c r="BH10" s="260">
        <f t="shared" si="31"/>
        <v>-2.9842794901924208E-12</v>
      </c>
      <c r="BI10" s="259">
        <f t="shared" si="0"/>
        <v>0</v>
      </c>
      <c r="BJ10" s="633"/>
      <c r="BK10" s="633"/>
      <c r="BL10" s="259">
        <f>'BPA Product '!AM10</f>
        <v>0</v>
      </c>
      <c r="BM10" s="259">
        <f t="shared" si="32"/>
        <v>-2.9842794901924208E-12</v>
      </c>
      <c r="BN10" s="258"/>
      <c r="BO10" s="259">
        <f t="shared" si="33"/>
        <v>4.5474735088646412E-13</v>
      </c>
      <c r="BP10" s="259">
        <f t="shared" si="34"/>
        <v>0</v>
      </c>
      <c r="BQ10" s="683"/>
      <c r="BR10" s="636"/>
      <c r="BS10" s="259">
        <f>'BPA Product '!AO10</f>
        <v>0</v>
      </c>
      <c r="BT10" s="259">
        <f t="shared" si="59"/>
        <v>4.5474735088646412E-13</v>
      </c>
      <c r="BU10" s="258"/>
      <c r="BV10" s="1161">
        <f t="shared" si="36"/>
        <v>0</v>
      </c>
      <c r="BW10" s="259">
        <f t="shared" si="1"/>
        <v>0</v>
      </c>
      <c r="BX10" s="683"/>
      <c r="BY10" s="636"/>
      <c r="BZ10" s="685">
        <f>'BPA Product '!AP10</f>
        <v>0</v>
      </c>
      <c r="CA10" s="259">
        <f t="shared" si="2"/>
        <v>0</v>
      </c>
      <c r="CB10" s="258"/>
      <c r="CC10" s="810">
        <f t="shared" si="37"/>
        <v>150</v>
      </c>
      <c r="CD10" s="810">
        <f t="shared" si="38"/>
        <v>0</v>
      </c>
      <c r="CE10" s="811"/>
      <c r="CF10" s="811"/>
      <c r="CG10" s="498">
        <f>'BPA Product '!AN10</f>
        <v>0</v>
      </c>
      <c r="CH10" s="810">
        <f t="shared" si="39"/>
        <v>150</v>
      </c>
      <c r="CI10" s="258"/>
      <c r="CJ10" s="810">
        <f t="shared" si="40"/>
        <v>0</v>
      </c>
      <c r="CK10" s="810">
        <f t="shared" si="3"/>
        <v>0</v>
      </c>
      <c r="CL10" s="811"/>
      <c r="CM10" s="811"/>
      <c r="CN10" s="498">
        <f>'BPA Product '!AS10</f>
        <v>0</v>
      </c>
      <c r="CO10" s="810">
        <f t="shared" si="41"/>
        <v>0</v>
      </c>
      <c r="CP10" s="258"/>
      <c r="CQ10" s="810">
        <f t="shared" si="42"/>
        <v>88.199999999999989</v>
      </c>
      <c r="CR10" s="810">
        <f t="shared" si="4"/>
        <v>5.4</v>
      </c>
      <c r="CS10" s="811"/>
      <c r="CT10" s="811"/>
      <c r="CU10" s="811"/>
      <c r="CV10" s="498">
        <f>'BPA Product '!AV10</f>
        <v>0</v>
      </c>
      <c r="CW10" s="259">
        <f t="shared" si="43"/>
        <v>93.6</v>
      </c>
      <c r="CX10" s="258"/>
      <c r="CY10" s="810">
        <f t="shared" si="44"/>
        <v>0</v>
      </c>
      <c r="CZ10" s="810"/>
      <c r="DA10" s="811"/>
      <c r="DB10" s="811"/>
      <c r="DC10" s="811"/>
      <c r="DD10" s="498">
        <f>'BPA Product '!AW10</f>
        <v>0</v>
      </c>
      <c r="DE10" s="259">
        <f t="shared" si="45"/>
        <v>0</v>
      </c>
      <c r="DF10" s="258"/>
      <c r="DG10" s="259">
        <f t="shared" si="46"/>
        <v>0</v>
      </c>
      <c r="DH10" s="260">
        <f t="shared" si="5"/>
        <v>0</v>
      </c>
      <c r="DI10" s="631"/>
      <c r="DJ10" s="639"/>
      <c r="DK10" s="260">
        <f>'BPA Product '!AX10</f>
        <v>0</v>
      </c>
      <c r="DL10" s="259">
        <f t="shared" si="47"/>
        <v>0</v>
      </c>
      <c r="DM10" s="258"/>
      <c r="DN10" s="259">
        <f t="shared" si="48"/>
        <v>0</v>
      </c>
      <c r="DO10" s="260">
        <f t="shared" si="6"/>
        <v>0</v>
      </c>
      <c r="DP10" s="633"/>
      <c r="DQ10" s="1358"/>
      <c r="DR10" s="260">
        <f>'BPA Product '!AY10</f>
        <v>0</v>
      </c>
      <c r="DS10" s="259">
        <f t="shared" si="49"/>
        <v>0</v>
      </c>
      <c r="DT10" s="258"/>
      <c r="DU10" s="259">
        <f t="shared" si="50"/>
        <v>-1.7763568394002505E-14</v>
      </c>
      <c r="DV10" s="260">
        <f t="shared" si="7"/>
        <v>0</v>
      </c>
      <c r="DW10" s="631"/>
      <c r="DX10" s="639"/>
      <c r="DY10" s="260">
        <f>'BPA Product '!AZ10</f>
        <v>0</v>
      </c>
      <c r="DZ10" s="259">
        <f t="shared" si="51"/>
        <v>-1.7763568394002505E-14</v>
      </c>
      <c r="EA10" s="258"/>
      <c r="EB10" s="263">
        <f t="shared" si="52"/>
        <v>0</v>
      </c>
      <c r="EC10" s="263">
        <f t="shared" si="8"/>
        <v>0</v>
      </c>
      <c r="ED10" s="639"/>
      <c r="EE10" s="639"/>
      <c r="EF10" s="263">
        <f>'BPA Product '!BA10</f>
        <v>0</v>
      </c>
      <c r="EG10" s="685">
        <f t="shared" si="53"/>
        <v>0</v>
      </c>
      <c r="EH10" s="258"/>
      <c r="EI10" s="263">
        <f t="shared" si="54"/>
        <v>0</v>
      </c>
      <c r="EJ10" s="263">
        <f t="shared" si="9"/>
        <v>0</v>
      </c>
      <c r="EK10" s="639"/>
      <c r="EL10" s="639"/>
      <c r="EM10" s="263">
        <f>'BPA Product '!BB10</f>
        <v>0</v>
      </c>
      <c r="EN10" s="685">
        <f t="shared" si="55"/>
        <v>0</v>
      </c>
      <c r="EO10" s="258"/>
      <c r="EP10" s="685">
        <f t="shared" si="56"/>
        <v>0</v>
      </c>
      <c r="EQ10" s="663">
        <f t="shared" si="10"/>
        <v>0</v>
      </c>
      <c r="ER10" s="664"/>
      <c r="ES10" s="664"/>
      <c r="ET10" s="809">
        <f>'BPA Product '!BC10</f>
        <v>0</v>
      </c>
      <c r="EU10" s="685">
        <f t="shared" si="57"/>
        <v>0</v>
      </c>
      <c r="EV10" s="258"/>
    </row>
    <row r="11" spans="1:152">
      <c r="A11" s="257">
        <f t="shared" si="58"/>
        <v>43805</v>
      </c>
      <c r="B11" s="261">
        <f t="shared" si="11"/>
        <v>0</v>
      </c>
      <c r="C11" s="501">
        <f>'BPA Product '!L11+'BPA Product '!O11-D11</f>
        <v>493.2</v>
      </c>
      <c r="D11" s="267">
        <f t="shared" si="12"/>
        <v>0</v>
      </c>
      <c r="E11" s="812">
        <f t="shared" si="13"/>
        <v>493.2</v>
      </c>
      <c r="F11" s="259">
        <f>'BPA Product '!Q11</f>
        <v>0</v>
      </c>
      <c r="G11" s="259">
        <f>'BPA Product '!R11</f>
        <v>0</v>
      </c>
      <c r="H11" s="543">
        <f>'BPA Product '!S11</f>
        <v>0</v>
      </c>
      <c r="I11" s="630">
        <f>'BPA Product '!U11</f>
        <v>0</v>
      </c>
      <c r="J11" s="630">
        <f>'BPA Product '!V11</f>
        <v>493.2</v>
      </c>
      <c r="K11" s="630">
        <f>'BPA Product '!X11</f>
        <v>0</v>
      </c>
      <c r="L11" s="543">
        <f>'BPA Product '!AG11</f>
        <v>0</v>
      </c>
      <c r="M11" s="543">
        <f>'BPA Product '!AF11</f>
        <v>0</v>
      </c>
      <c r="N11" s="543">
        <f>'BPA Product '!T11</f>
        <v>0</v>
      </c>
      <c r="O11" s="498">
        <f>'BPA Product '!AH11+'BPA Product '!AI11</f>
        <v>0</v>
      </c>
      <c r="P11" s="498"/>
      <c r="Q11" s="259">
        <f t="shared" si="14"/>
        <v>0</v>
      </c>
      <c r="R11" s="360"/>
      <c r="S11" s="498">
        <f t="shared" si="15"/>
        <v>342.15999999999934</v>
      </c>
      <c r="T11" s="498">
        <f t="shared" si="16"/>
        <v>0</v>
      </c>
      <c r="U11" s="508">
        <f>'BPA Product '!BD11+'BPA Product '!BE11</f>
        <v>0</v>
      </c>
      <c r="V11" s="508">
        <f>'BPA Product '!AJ11</f>
        <v>0</v>
      </c>
      <c r="W11" s="498">
        <f t="shared" si="17"/>
        <v>342.15999999999934</v>
      </c>
      <c r="X11" s="507"/>
      <c r="Y11" s="259">
        <f t="shared" si="18"/>
        <v>0</v>
      </c>
      <c r="Z11" s="259">
        <f>'BPA Product '!M11</f>
        <v>0</v>
      </c>
      <c r="AA11" s="260">
        <f>'BPA Product '!Y11</f>
        <v>0</v>
      </c>
      <c r="AB11" s="260">
        <f>'BPA Product '!Z11</f>
        <v>0</v>
      </c>
      <c r="AC11" s="260">
        <f>'BPA Product '!AA11</f>
        <v>0</v>
      </c>
      <c r="AD11" s="259">
        <f t="shared" si="19"/>
        <v>0</v>
      </c>
      <c r="AE11" s="360"/>
      <c r="AF11" s="259">
        <f t="shared" si="20"/>
        <v>0</v>
      </c>
      <c r="AG11" s="259">
        <f>'BPA Product '!N11</f>
        <v>0</v>
      </c>
      <c r="AH11" s="260">
        <f>'BPA Product '!AB11</f>
        <v>0</v>
      </c>
      <c r="AI11" s="260">
        <f>'BPA Product '!AC11</f>
        <v>0</v>
      </c>
      <c r="AJ11" s="260">
        <f>'BPA Product '!AD11</f>
        <v>0</v>
      </c>
      <c r="AK11" s="259">
        <f t="shared" si="21"/>
        <v>0</v>
      </c>
      <c r="AL11" s="258"/>
      <c r="AM11" s="259">
        <f t="shared" si="22"/>
        <v>522</v>
      </c>
      <c r="AN11" s="259">
        <f t="shared" si="23"/>
        <v>0</v>
      </c>
      <c r="AO11" s="633"/>
      <c r="AP11" s="633"/>
      <c r="AQ11" s="259">
        <f>'BPA Product '!AQ11</f>
        <v>0</v>
      </c>
      <c r="AR11" s="259">
        <f t="shared" si="24"/>
        <v>522</v>
      </c>
      <c r="AS11" s="258"/>
      <c r="AT11" s="259">
        <f t="shared" si="25"/>
        <v>1495.8000000000061</v>
      </c>
      <c r="AU11" s="259">
        <f t="shared" si="26"/>
        <v>493.2</v>
      </c>
      <c r="AV11" s="1363"/>
      <c r="AW11" s="1363"/>
      <c r="AX11" s="259">
        <f>'BPA Product '!AR11</f>
        <v>0</v>
      </c>
      <c r="AY11" s="259">
        <f t="shared" si="27"/>
        <v>1989.0000000000061</v>
      </c>
      <c r="AZ11" s="258"/>
      <c r="BA11" s="260">
        <f t="shared" si="28"/>
        <v>0</v>
      </c>
      <c r="BB11" s="259">
        <f t="shared" si="29"/>
        <v>0</v>
      </c>
      <c r="BC11" s="637"/>
      <c r="BD11" s="636"/>
      <c r="BE11" s="685">
        <f>'BPA Product '!AS11</f>
        <v>0</v>
      </c>
      <c r="BF11" s="259">
        <f t="shared" si="30"/>
        <v>0</v>
      </c>
      <c r="BG11" s="258"/>
      <c r="BH11" s="260">
        <f t="shared" si="31"/>
        <v>-2.9842794901924208E-12</v>
      </c>
      <c r="BI11" s="259">
        <f t="shared" si="0"/>
        <v>0</v>
      </c>
      <c r="BJ11" s="633"/>
      <c r="BK11" s="633"/>
      <c r="BL11" s="259">
        <f>'BPA Product '!AM11</f>
        <v>0</v>
      </c>
      <c r="BM11" s="259">
        <f t="shared" si="32"/>
        <v>-2.9842794901924208E-12</v>
      </c>
      <c r="BN11" s="258"/>
      <c r="BO11" s="259">
        <f t="shared" si="33"/>
        <v>4.5474735088646412E-13</v>
      </c>
      <c r="BP11" s="259">
        <f t="shared" si="34"/>
        <v>0</v>
      </c>
      <c r="BQ11" s="637"/>
      <c r="BR11" s="636"/>
      <c r="BS11" s="259">
        <f>'BPA Product '!AO11</f>
        <v>0</v>
      </c>
      <c r="BT11" s="259">
        <f t="shared" si="59"/>
        <v>4.5474735088646412E-13</v>
      </c>
      <c r="BU11" s="258"/>
      <c r="BV11" s="1161">
        <f t="shared" si="36"/>
        <v>0</v>
      </c>
      <c r="BW11" s="259">
        <f t="shared" si="1"/>
        <v>0</v>
      </c>
      <c r="BX11" s="637"/>
      <c r="BY11" s="636"/>
      <c r="BZ11" s="685">
        <f>'BPA Product '!AP11</f>
        <v>0</v>
      </c>
      <c r="CA11" s="259">
        <f t="shared" si="2"/>
        <v>0</v>
      </c>
      <c r="CB11" s="258"/>
      <c r="CC11" s="810">
        <f t="shared" si="37"/>
        <v>150</v>
      </c>
      <c r="CD11" s="810">
        <f t="shared" si="38"/>
        <v>0</v>
      </c>
      <c r="CE11" s="811"/>
      <c r="CF11" s="811"/>
      <c r="CG11" s="498">
        <f>'BPA Product '!AN11</f>
        <v>0</v>
      </c>
      <c r="CH11" s="810">
        <f t="shared" si="39"/>
        <v>150</v>
      </c>
      <c r="CI11" s="258"/>
      <c r="CJ11" s="810">
        <f t="shared" si="40"/>
        <v>0</v>
      </c>
      <c r="CK11" s="810">
        <f t="shared" si="3"/>
        <v>0</v>
      </c>
      <c r="CL11" s="811"/>
      <c r="CM11" s="811"/>
      <c r="CN11" s="498">
        <f>'BPA Product '!AS11</f>
        <v>0</v>
      </c>
      <c r="CO11" s="810">
        <f t="shared" si="41"/>
        <v>0</v>
      </c>
      <c r="CP11" s="258"/>
      <c r="CQ11" s="810">
        <f t="shared" si="42"/>
        <v>93.6</v>
      </c>
      <c r="CR11" s="810">
        <f t="shared" si="4"/>
        <v>0</v>
      </c>
      <c r="CS11" s="811"/>
      <c r="CT11" s="811"/>
      <c r="CU11" s="811"/>
      <c r="CV11" s="498">
        <f>'BPA Product '!AV11</f>
        <v>0</v>
      </c>
      <c r="CW11" s="259">
        <f t="shared" si="43"/>
        <v>93.6</v>
      </c>
      <c r="CX11" s="258"/>
      <c r="CY11" s="810">
        <f t="shared" si="44"/>
        <v>0</v>
      </c>
      <c r="CZ11" s="810"/>
      <c r="DA11" s="811"/>
      <c r="DB11" s="811"/>
      <c r="DC11" s="811"/>
      <c r="DD11" s="498">
        <f>'BPA Product '!AW11</f>
        <v>0</v>
      </c>
      <c r="DE11" s="259">
        <f t="shared" si="45"/>
        <v>0</v>
      </c>
      <c r="DF11" s="258"/>
      <c r="DG11" s="259">
        <f t="shared" si="46"/>
        <v>0</v>
      </c>
      <c r="DH11" s="260">
        <f t="shared" si="5"/>
        <v>0</v>
      </c>
      <c r="DI11" s="631"/>
      <c r="DJ11" s="639"/>
      <c r="DK11" s="260">
        <f>'BPA Product '!AX11</f>
        <v>0</v>
      </c>
      <c r="DL11" s="259">
        <f t="shared" si="47"/>
        <v>0</v>
      </c>
      <c r="DM11" s="258"/>
      <c r="DN11" s="259">
        <f t="shared" si="48"/>
        <v>0</v>
      </c>
      <c r="DO11" s="260">
        <f t="shared" si="6"/>
        <v>0</v>
      </c>
      <c r="DP11" s="633"/>
      <c r="DQ11" s="1358"/>
      <c r="DR11" s="260">
        <f>'BPA Product '!AY11</f>
        <v>0</v>
      </c>
      <c r="DS11" s="259">
        <f t="shared" si="49"/>
        <v>0</v>
      </c>
      <c r="DT11" s="258"/>
      <c r="DU11" s="259">
        <f t="shared" si="50"/>
        <v>-1.7763568394002505E-14</v>
      </c>
      <c r="DV11" s="260">
        <f t="shared" si="7"/>
        <v>0</v>
      </c>
      <c r="DW11" s="631"/>
      <c r="DX11" s="639"/>
      <c r="DY11" s="260">
        <f>'BPA Product '!AZ11</f>
        <v>0</v>
      </c>
      <c r="DZ11" s="259">
        <f t="shared" si="51"/>
        <v>-1.7763568394002505E-14</v>
      </c>
      <c r="EA11" s="258"/>
      <c r="EB11" s="263">
        <f t="shared" si="52"/>
        <v>0</v>
      </c>
      <c r="EC11" s="263">
        <f t="shared" si="8"/>
        <v>0</v>
      </c>
      <c r="ED11" s="639"/>
      <c r="EE11" s="639"/>
      <c r="EF11" s="263">
        <f>'BPA Product '!BA11</f>
        <v>0</v>
      </c>
      <c r="EG11" s="685">
        <f t="shared" si="53"/>
        <v>0</v>
      </c>
      <c r="EH11" s="258"/>
      <c r="EI11" s="263">
        <f t="shared" si="54"/>
        <v>0</v>
      </c>
      <c r="EJ11" s="263">
        <f t="shared" si="9"/>
        <v>0</v>
      </c>
      <c r="EK11" s="639"/>
      <c r="EL11" s="639"/>
      <c r="EM11" s="263">
        <f>'BPA Product '!BB11</f>
        <v>0</v>
      </c>
      <c r="EN11" s="685">
        <f t="shared" si="55"/>
        <v>0</v>
      </c>
      <c r="EO11" s="258"/>
      <c r="EP11" s="685">
        <f t="shared" si="56"/>
        <v>0</v>
      </c>
      <c r="EQ11" s="663">
        <f t="shared" si="10"/>
        <v>0</v>
      </c>
      <c r="ER11" s="664"/>
      <c r="ES11" s="664"/>
      <c r="ET11" s="809">
        <f>'BPA Product '!BC11</f>
        <v>0</v>
      </c>
      <c r="EU11" s="685">
        <f t="shared" si="57"/>
        <v>0</v>
      </c>
      <c r="EV11" s="258"/>
    </row>
    <row r="12" spans="1:152">
      <c r="A12" s="257">
        <f t="shared" si="58"/>
        <v>43806</v>
      </c>
      <c r="B12" s="261">
        <f t="shared" si="11"/>
        <v>0</v>
      </c>
      <c r="C12" s="501">
        <f>'BPA Product '!L12+'BPA Product '!O12-D12</f>
        <v>496.8</v>
      </c>
      <c r="D12" s="267">
        <f t="shared" si="12"/>
        <v>0</v>
      </c>
      <c r="E12" s="812">
        <f t="shared" si="13"/>
        <v>496.8</v>
      </c>
      <c r="F12" s="259">
        <f>'BPA Product '!Q12</f>
        <v>0</v>
      </c>
      <c r="G12" s="259">
        <f>'BPA Product '!R12</f>
        <v>261</v>
      </c>
      <c r="H12" s="543">
        <f>'BPA Product '!S12</f>
        <v>0</v>
      </c>
      <c r="I12" s="630">
        <f>'BPA Product '!U12</f>
        <v>72</v>
      </c>
      <c r="J12" s="630">
        <f>'BPA Product '!V12</f>
        <v>163.80000000000001</v>
      </c>
      <c r="K12" s="630">
        <f>'BPA Product '!X12</f>
        <v>0</v>
      </c>
      <c r="L12" s="543">
        <f>'BPA Product '!AG12</f>
        <v>0</v>
      </c>
      <c r="M12" s="543">
        <f>'BPA Product '!AF12</f>
        <v>0</v>
      </c>
      <c r="N12" s="543">
        <f>'BPA Product '!T12</f>
        <v>0</v>
      </c>
      <c r="O12" s="498">
        <f>'BPA Product '!AH12+'BPA Product '!AI12</f>
        <v>0</v>
      </c>
      <c r="P12" s="498"/>
      <c r="Q12" s="259">
        <f t="shared" si="14"/>
        <v>0</v>
      </c>
      <c r="R12" s="360"/>
      <c r="S12" s="498">
        <f t="shared" si="15"/>
        <v>342.15999999999934</v>
      </c>
      <c r="T12" s="498">
        <f t="shared" si="16"/>
        <v>0</v>
      </c>
      <c r="U12" s="508">
        <f>'BPA Product '!BD12+'BPA Product '!BE12</f>
        <v>0</v>
      </c>
      <c r="V12" s="508">
        <f>'BPA Product '!AJ12</f>
        <v>0</v>
      </c>
      <c r="W12" s="498">
        <f>S12+T12-U12-V12</f>
        <v>342.15999999999934</v>
      </c>
      <c r="X12" s="507"/>
      <c r="Y12" s="259">
        <f t="shared" si="18"/>
        <v>0</v>
      </c>
      <c r="Z12" s="259">
        <f>'BPA Product '!M12</f>
        <v>0</v>
      </c>
      <c r="AA12" s="260">
        <f>'BPA Product '!Y12</f>
        <v>0</v>
      </c>
      <c r="AB12" s="260">
        <f>'BPA Product '!Z12</f>
        <v>0</v>
      </c>
      <c r="AC12" s="260">
        <f>'BPA Product '!AA12</f>
        <v>0</v>
      </c>
      <c r="AD12" s="259">
        <f t="shared" si="19"/>
        <v>0</v>
      </c>
      <c r="AE12" s="360"/>
      <c r="AF12" s="259">
        <f t="shared" si="20"/>
        <v>0</v>
      </c>
      <c r="AG12" s="259">
        <f>'BPA Product '!N12</f>
        <v>0</v>
      </c>
      <c r="AH12" s="260">
        <f>'BPA Product '!AB12</f>
        <v>0</v>
      </c>
      <c r="AI12" s="260">
        <f>'BPA Product '!AC12</f>
        <v>0</v>
      </c>
      <c r="AJ12" s="260">
        <f>'BPA Product '!AD12</f>
        <v>0</v>
      </c>
      <c r="AK12" s="259">
        <f t="shared" si="21"/>
        <v>0</v>
      </c>
      <c r="AL12" s="258"/>
      <c r="AM12" s="259">
        <f t="shared" si="22"/>
        <v>522</v>
      </c>
      <c r="AN12" s="259">
        <f t="shared" si="23"/>
        <v>72</v>
      </c>
      <c r="AO12" s="633"/>
      <c r="AP12" s="633"/>
      <c r="AQ12" s="259">
        <f>'BPA Product '!AQ12</f>
        <v>0</v>
      </c>
      <c r="AR12" s="259">
        <f t="shared" si="24"/>
        <v>594</v>
      </c>
      <c r="AS12" s="258"/>
      <c r="AT12" s="259">
        <f t="shared" si="25"/>
        <v>1989.0000000000061</v>
      </c>
      <c r="AU12" s="259">
        <f t="shared" si="26"/>
        <v>163.80000000000001</v>
      </c>
      <c r="AV12" s="1363"/>
      <c r="AW12" s="1363"/>
      <c r="AX12" s="259">
        <f>'BPA Product '!AR12</f>
        <v>1242</v>
      </c>
      <c r="AY12" s="259">
        <f t="shared" si="27"/>
        <v>910.80000000000609</v>
      </c>
      <c r="AZ12" s="258"/>
      <c r="BA12" s="260">
        <f t="shared" si="28"/>
        <v>0</v>
      </c>
      <c r="BB12" s="259">
        <f t="shared" si="29"/>
        <v>0</v>
      </c>
      <c r="BC12" s="637"/>
      <c r="BD12" s="636"/>
      <c r="BE12" s="685">
        <f>'BPA Product '!AS12</f>
        <v>0</v>
      </c>
      <c r="BF12" s="259">
        <f t="shared" si="30"/>
        <v>0</v>
      </c>
      <c r="BG12" s="258"/>
      <c r="BH12" s="259">
        <f t="shared" si="31"/>
        <v>-2.9842794901924208E-12</v>
      </c>
      <c r="BI12" s="259">
        <f t="shared" si="0"/>
        <v>0</v>
      </c>
      <c r="BJ12" s="633"/>
      <c r="BK12" s="633"/>
      <c r="BL12" s="259">
        <f>'BPA Product '!AM12</f>
        <v>0</v>
      </c>
      <c r="BM12" s="259">
        <f t="shared" si="32"/>
        <v>-2.9842794901924208E-12</v>
      </c>
      <c r="BN12" s="258"/>
      <c r="BO12" s="259">
        <f t="shared" si="33"/>
        <v>4.5474735088646412E-13</v>
      </c>
      <c r="BP12" s="259">
        <f t="shared" si="34"/>
        <v>261</v>
      </c>
      <c r="BQ12" s="637"/>
      <c r="BR12" s="636"/>
      <c r="BS12" s="259">
        <f>'BPA Product '!AO12</f>
        <v>0</v>
      </c>
      <c r="BT12" s="259">
        <f t="shared" si="59"/>
        <v>261.00000000000045</v>
      </c>
      <c r="BU12" s="258"/>
      <c r="BV12" s="1161">
        <f t="shared" si="36"/>
        <v>0</v>
      </c>
      <c r="BW12" s="259">
        <f t="shared" si="1"/>
        <v>0</v>
      </c>
      <c r="BX12" s="637"/>
      <c r="BY12" s="636"/>
      <c r="BZ12" s="685">
        <f>'BPA Product '!AP12</f>
        <v>0</v>
      </c>
      <c r="CA12" s="259">
        <f t="shared" si="2"/>
        <v>0</v>
      </c>
      <c r="CB12" s="258"/>
      <c r="CC12" s="810">
        <f t="shared" si="37"/>
        <v>150</v>
      </c>
      <c r="CD12" s="810">
        <f t="shared" si="38"/>
        <v>0</v>
      </c>
      <c r="CE12" s="811"/>
      <c r="CF12" s="811"/>
      <c r="CG12" s="498">
        <f>'BPA Product '!AN12</f>
        <v>0</v>
      </c>
      <c r="CH12" s="810">
        <f t="shared" si="39"/>
        <v>150</v>
      </c>
      <c r="CI12" s="258"/>
      <c r="CJ12" s="810">
        <f t="shared" si="40"/>
        <v>0</v>
      </c>
      <c r="CK12" s="810">
        <f t="shared" si="3"/>
        <v>0</v>
      </c>
      <c r="CL12" s="811"/>
      <c r="CM12" s="811"/>
      <c r="CN12" s="498">
        <f>'BPA Product '!AS12</f>
        <v>0</v>
      </c>
      <c r="CO12" s="810">
        <f t="shared" si="41"/>
        <v>0</v>
      </c>
      <c r="CP12" s="258"/>
      <c r="CQ12" s="810">
        <f t="shared" si="42"/>
        <v>93.6</v>
      </c>
      <c r="CR12" s="810">
        <f t="shared" si="4"/>
        <v>0</v>
      </c>
      <c r="CS12" s="811"/>
      <c r="CT12" s="811"/>
      <c r="CU12" s="811"/>
      <c r="CV12" s="498">
        <f>'BPA Product '!AV12</f>
        <v>0</v>
      </c>
      <c r="CW12" s="259">
        <f t="shared" si="43"/>
        <v>93.6</v>
      </c>
      <c r="CX12" s="258"/>
      <c r="CY12" s="810">
        <f t="shared" si="44"/>
        <v>0</v>
      </c>
      <c r="CZ12" s="810"/>
      <c r="DA12" s="811"/>
      <c r="DB12" s="811"/>
      <c r="DC12" s="811"/>
      <c r="DD12" s="498">
        <f>'BPA Product '!AW12</f>
        <v>0</v>
      </c>
      <c r="DE12" s="259">
        <f t="shared" si="45"/>
        <v>0</v>
      </c>
      <c r="DF12" s="258"/>
      <c r="DG12" s="259">
        <f t="shared" si="46"/>
        <v>0</v>
      </c>
      <c r="DH12" s="260">
        <f t="shared" si="5"/>
        <v>0</v>
      </c>
      <c r="DI12" s="631"/>
      <c r="DJ12" s="639"/>
      <c r="DK12" s="260">
        <f>'BPA Product '!AX12</f>
        <v>0</v>
      </c>
      <c r="DL12" s="259">
        <f t="shared" si="47"/>
        <v>0</v>
      </c>
      <c r="DM12" s="258"/>
      <c r="DN12" s="259">
        <f t="shared" si="48"/>
        <v>0</v>
      </c>
      <c r="DO12" s="260">
        <f t="shared" si="6"/>
        <v>0</v>
      </c>
      <c r="DP12" s="633"/>
      <c r="DQ12" s="1358"/>
      <c r="DR12" s="260">
        <f>'BPA Product '!AY12</f>
        <v>0</v>
      </c>
      <c r="DS12" s="259">
        <f t="shared" si="49"/>
        <v>0</v>
      </c>
      <c r="DT12" s="258"/>
      <c r="DU12" s="259">
        <f t="shared" si="50"/>
        <v>-1.7763568394002505E-14</v>
      </c>
      <c r="DV12" s="260">
        <f t="shared" si="7"/>
        <v>0</v>
      </c>
      <c r="DW12" s="631"/>
      <c r="DX12" s="639"/>
      <c r="DY12" s="260">
        <f>'BPA Product '!AZ12</f>
        <v>0</v>
      </c>
      <c r="DZ12" s="259">
        <f t="shared" si="51"/>
        <v>-1.7763568394002505E-14</v>
      </c>
      <c r="EA12" s="258"/>
      <c r="EB12" s="263">
        <f t="shared" si="52"/>
        <v>0</v>
      </c>
      <c r="EC12" s="263">
        <f t="shared" si="8"/>
        <v>0</v>
      </c>
      <c r="ED12" s="639"/>
      <c r="EE12" s="639"/>
      <c r="EF12" s="263">
        <f>'BPA Product '!BA12</f>
        <v>0</v>
      </c>
      <c r="EG12" s="685">
        <f t="shared" si="53"/>
        <v>0</v>
      </c>
      <c r="EH12" s="258"/>
      <c r="EI12" s="263">
        <f t="shared" si="54"/>
        <v>0</v>
      </c>
      <c r="EJ12" s="263">
        <f t="shared" si="9"/>
        <v>0</v>
      </c>
      <c r="EK12" s="639"/>
      <c r="EL12" s="639"/>
      <c r="EM12" s="263">
        <f>'BPA Product '!BB12</f>
        <v>0</v>
      </c>
      <c r="EN12" s="685">
        <f t="shared" si="55"/>
        <v>0</v>
      </c>
      <c r="EO12" s="258"/>
      <c r="EP12" s="685">
        <f t="shared" si="56"/>
        <v>0</v>
      </c>
      <c r="EQ12" s="663">
        <f t="shared" si="10"/>
        <v>0</v>
      </c>
      <c r="ER12" s="664"/>
      <c r="ES12" s="664"/>
      <c r="ET12" s="809">
        <f>'BPA Product '!BC12</f>
        <v>0</v>
      </c>
      <c r="EU12" s="685">
        <f t="shared" si="57"/>
        <v>0</v>
      </c>
      <c r="EV12" s="258"/>
    </row>
    <row r="13" spans="1:152">
      <c r="A13" s="257">
        <f t="shared" si="58"/>
        <v>43807</v>
      </c>
      <c r="B13" s="261">
        <f t="shared" si="11"/>
        <v>0</v>
      </c>
      <c r="C13" s="501">
        <f>'BPA Product '!L13+'BPA Product '!O13-D13</f>
        <v>496.8</v>
      </c>
      <c r="D13" s="267">
        <f t="shared" si="12"/>
        <v>0</v>
      </c>
      <c r="E13" s="812">
        <f t="shared" si="13"/>
        <v>496.8</v>
      </c>
      <c r="F13" s="259">
        <f>'BPA Product '!Q13</f>
        <v>0</v>
      </c>
      <c r="G13" s="259">
        <f>'BPA Product '!R13</f>
        <v>450</v>
      </c>
      <c r="H13" s="543">
        <f>'BPA Product '!S13</f>
        <v>0</v>
      </c>
      <c r="I13" s="630">
        <f>'BPA Product '!U13</f>
        <v>0</v>
      </c>
      <c r="J13" s="630">
        <f>'BPA Product '!V13</f>
        <v>43.20000000000001</v>
      </c>
      <c r="K13" s="630">
        <f>'BPA Product '!X13</f>
        <v>0</v>
      </c>
      <c r="L13" s="543">
        <f>'BPA Product '!AG13</f>
        <v>0</v>
      </c>
      <c r="M13" s="543">
        <f>'BPA Product '!AF13</f>
        <v>3.6</v>
      </c>
      <c r="N13" s="543">
        <f>'BPA Product '!T13</f>
        <v>0</v>
      </c>
      <c r="O13" s="498">
        <f>'BPA Product '!AH13+'BPA Product '!AI13</f>
        <v>0</v>
      </c>
      <c r="P13" s="498"/>
      <c r="Q13" s="259">
        <f t="shared" si="14"/>
        <v>0</v>
      </c>
      <c r="R13" s="360"/>
      <c r="S13" s="498">
        <f t="shared" si="15"/>
        <v>342.15999999999934</v>
      </c>
      <c r="T13" s="498">
        <f t="shared" si="16"/>
        <v>0</v>
      </c>
      <c r="U13" s="508">
        <f>'BPA Product '!BD13+'BPA Product '!BE13</f>
        <v>0</v>
      </c>
      <c r="V13" s="508">
        <f>'BPA Product '!AJ13</f>
        <v>0</v>
      </c>
      <c r="W13" s="498">
        <f t="shared" si="17"/>
        <v>342.15999999999934</v>
      </c>
      <c r="X13" s="507"/>
      <c r="Y13" s="259">
        <f t="shared" si="18"/>
        <v>0</v>
      </c>
      <c r="Z13" s="259">
        <f>'BPA Product '!M13</f>
        <v>0</v>
      </c>
      <c r="AA13" s="260">
        <f>'BPA Product '!Y13</f>
        <v>0</v>
      </c>
      <c r="AB13" s="260">
        <f>'BPA Product '!Z13</f>
        <v>0</v>
      </c>
      <c r="AC13" s="260">
        <f>'BPA Product '!AA13</f>
        <v>0</v>
      </c>
      <c r="AD13" s="259">
        <f t="shared" si="19"/>
        <v>0</v>
      </c>
      <c r="AE13" s="360"/>
      <c r="AF13" s="259">
        <f t="shared" si="20"/>
        <v>0</v>
      </c>
      <c r="AG13" s="259">
        <f>'BPA Product '!N13</f>
        <v>0</v>
      </c>
      <c r="AH13" s="260">
        <f>'BPA Product '!AB13</f>
        <v>0</v>
      </c>
      <c r="AI13" s="260">
        <f>'BPA Product '!AC13</f>
        <v>0</v>
      </c>
      <c r="AJ13" s="260">
        <f>'BPA Product '!AD13</f>
        <v>0</v>
      </c>
      <c r="AK13" s="259">
        <f t="shared" si="21"/>
        <v>0</v>
      </c>
      <c r="AL13" s="258"/>
      <c r="AM13" s="259">
        <f t="shared" si="22"/>
        <v>594</v>
      </c>
      <c r="AN13" s="259">
        <f t="shared" si="23"/>
        <v>0</v>
      </c>
      <c r="AO13" s="633"/>
      <c r="AP13" s="633"/>
      <c r="AQ13" s="259">
        <f>'BPA Product '!AQ13</f>
        <v>0</v>
      </c>
      <c r="AR13" s="259">
        <f t="shared" si="24"/>
        <v>594</v>
      </c>
      <c r="AS13" s="258"/>
      <c r="AT13" s="259">
        <f t="shared" si="25"/>
        <v>910.80000000000609</v>
      </c>
      <c r="AU13" s="259">
        <f t="shared" si="26"/>
        <v>43.20000000000001</v>
      </c>
      <c r="AV13" s="1363"/>
      <c r="AW13" s="1363"/>
      <c r="AX13" s="259">
        <f>'BPA Product '!AR13</f>
        <v>0</v>
      </c>
      <c r="AY13" s="259">
        <f t="shared" si="27"/>
        <v>954.00000000000614</v>
      </c>
      <c r="AZ13" s="258"/>
      <c r="BA13" s="260">
        <f t="shared" si="28"/>
        <v>0</v>
      </c>
      <c r="BB13" s="259">
        <f t="shared" si="29"/>
        <v>0</v>
      </c>
      <c r="BC13" s="811"/>
      <c r="BD13" s="636"/>
      <c r="BE13" s="685">
        <f>'BPA Product '!AS13</f>
        <v>0</v>
      </c>
      <c r="BF13" s="259">
        <f t="shared" si="30"/>
        <v>0</v>
      </c>
      <c r="BG13" s="258"/>
      <c r="BH13" s="259">
        <f t="shared" si="31"/>
        <v>-2.9842794901924208E-12</v>
      </c>
      <c r="BI13" s="259">
        <f t="shared" si="0"/>
        <v>0</v>
      </c>
      <c r="BJ13" s="633"/>
      <c r="BK13" s="633"/>
      <c r="BL13" s="259">
        <f>'BPA Product '!AM13</f>
        <v>0</v>
      </c>
      <c r="BM13" s="259">
        <f t="shared" si="32"/>
        <v>-2.9842794901924208E-12</v>
      </c>
      <c r="BN13" s="258"/>
      <c r="BO13" s="259">
        <f t="shared" si="33"/>
        <v>261.00000000000045</v>
      </c>
      <c r="BP13" s="259">
        <f t="shared" si="34"/>
        <v>450</v>
      </c>
      <c r="BQ13" s="637"/>
      <c r="BR13" s="636"/>
      <c r="BS13" s="259">
        <f>'BPA Product '!AO13</f>
        <v>0</v>
      </c>
      <c r="BT13" s="259">
        <f t="shared" si="59"/>
        <v>711.00000000000045</v>
      </c>
      <c r="BU13" s="258"/>
      <c r="BV13" s="1161">
        <f t="shared" si="36"/>
        <v>0</v>
      </c>
      <c r="BW13" s="259">
        <f t="shared" si="1"/>
        <v>0</v>
      </c>
      <c r="BX13" s="637"/>
      <c r="BY13" s="636"/>
      <c r="BZ13" s="685">
        <f>'BPA Product '!AP13</f>
        <v>0</v>
      </c>
      <c r="CA13" s="259">
        <f t="shared" si="2"/>
        <v>0</v>
      </c>
      <c r="CB13" s="258"/>
      <c r="CC13" s="810">
        <f t="shared" si="37"/>
        <v>150</v>
      </c>
      <c r="CD13" s="810">
        <f t="shared" si="38"/>
        <v>0</v>
      </c>
      <c r="CE13" s="811"/>
      <c r="CF13" s="811"/>
      <c r="CG13" s="498">
        <f>'BPA Product '!AN13</f>
        <v>0</v>
      </c>
      <c r="CH13" s="810">
        <f t="shared" si="39"/>
        <v>150</v>
      </c>
      <c r="CI13" s="258"/>
      <c r="CJ13" s="810">
        <f t="shared" si="40"/>
        <v>0</v>
      </c>
      <c r="CK13" s="810">
        <f t="shared" si="3"/>
        <v>0</v>
      </c>
      <c r="CL13" s="811"/>
      <c r="CM13" s="811"/>
      <c r="CN13" s="498">
        <f>'BPA Product '!AS13</f>
        <v>0</v>
      </c>
      <c r="CO13" s="810">
        <f t="shared" si="41"/>
        <v>0</v>
      </c>
      <c r="CP13" s="258"/>
      <c r="CQ13" s="810">
        <f t="shared" si="42"/>
        <v>93.6</v>
      </c>
      <c r="CR13" s="810">
        <f t="shared" si="4"/>
        <v>3.6</v>
      </c>
      <c r="CS13" s="811"/>
      <c r="CT13" s="811"/>
      <c r="CU13" s="811"/>
      <c r="CV13" s="498">
        <f>'BPA Product '!AV13</f>
        <v>0</v>
      </c>
      <c r="CW13" s="259">
        <f t="shared" si="43"/>
        <v>97.199999999999989</v>
      </c>
      <c r="CX13" s="258"/>
      <c r="CY13" s="810">
        <f t="shared" si="44"/>
        <v>0</v>
      </c>
      <c r="CZ13" s="810"/>
      <c r="DA13" s="811"/>
      <c r="DB13" s="811"/>
      <c r="DC13" s="811"/>
      <c r="DD13" s="498">
        <f>'BPA Product '!AW13</f>
        <v>0</v>
      </c>
      <c r="DE13" s="259">
        <f t="shared" si="45"/>
        <v>0</v>
      </c>
      <c r="DF13" s="258"/>
      <c r="DG13" s="259">
        <f t="shared" si="46"/>
        <v>0</v>
      </c>
      <c r="DH13" s="260">
        <f t="shared" si="5"/>
        <v>0</v>
      </c>
      <c r="DI13" s="631"/>
      <c r="DJ13" s="639"/>
      <c r="DK13" s="260">
        <f>'BPA Product '!AX13</f>
        <v>0</v>
      </c>
      <c r="DL13" s="259">
        <f t="shared" si="47"/>
        <v>0</v>
      </c>
      <c r="DM13" s="258"/>
      <c r="DN13" s="259">
        <f t="shared" si="48"/>
        <v>0</v>
      </c>
      <c r="DO13" s="260">
        <f t="shared" si="6"/>
        <v>0</v>
      </c>
      <c r="DP13" s="633"/>
      <c r="DQ13" s="1358"/>
      <c r="DR13" s="260">
        <f>'BPA Product '!AY13</f>
        <v>0</v>
      </c>
      <c r="DS13" s="259">
        <f t="shared" si="49"/>
        <v>0</v>
      </c>
      <c r="DT13" s="258"/>
      <c r="DU13" s="259">
        <f t="shared" si="50"/>
        <v>-1.7763568394002505E-14</v>
      </c>
      <c r="DV13" s="260">
        <f t="shared" si="7"/>
        <v>0</v>
      </c>
      <c r="DW13" s="631"/>
      <c r="DX13" s="639"/>
      <c r="DY13" s="260">
        <f>'BPA Product '!AZ13</f>
        <v>0</v>
      </c>
      <c r="DZ13" s="259">
        <f t="shared" si="51"/>
        <v>-1.7763568394002505E-14</v>
      </c>
      <c r="EA13" s="258"/>
      <c r="EB13" s="263">
        <f t="shared" si="52"/>
        <v>0</v>
      </c>
      <c r="EC13" s="263">
        <f t="shared" si="8"/>
        <v>0</v>
      </c>
      <c r="ED13" s="639"/>
      <c r="EE13" s="639"/>
      <c r="EF13" s="263">
        <f>'BPA Product '!BA13</f>
        <v>0</v>
      </c>
      <c r="EG13" s="685">
        <f t="shared" si="53"/>
        <v>0</v>
      </c>
      <c r="EH13" s="258"/>
      <c r="EI13" s="263">
        <f t="shared" si="54"/>
        <v>0</v>
      </c>
      <c r="EJ13" s="263">
        <f t="shared" si="9"/>
        <v>0</v>
      </c>
      <c r="EK13" s="639"/>
      <c r="EL13" s="639"/>
      <c r="EM13" s="263">
        <f>'BPA Product '!BB13</f>
        <v>0</v>
      </c>
      <c r="EN13" s="685">
        <f t="shared" si="55"/>
        <v>0</v>
      </c>
      <c r="EO13" s="258"/>
      <c r="EP13" s="685">
        <f t="shared" si="56"/>
        <v>0</v>
      </c>
      <c r="EQ13" s="663">
        <f t="shared" si="10"/>
        <v>0</v>
      </c>
      <c r="ER13" s="664"/>
      <c r="ES13" s="947"/>
      <c r="ET13" s="809">
        <f>'BPA Product '!BC13</f>
        <v>0</v>
      </c>
      <c r="EU13" s="685">
        <f t="shared" si="57"/>
        <v>0</v>
      </c>
      <c r="EV13" s="258"/>
    </row>
    <row r="14" spans="1:152">
      <c r="A14" s="257">
        <f t="shared" si="58"/>
        <v>43808</v>
      </c>
      <c r="B14" s="261">
        <f t="shared" si="11"/>
        <v>0</v>
      </c>
      <c r="C14" s="501">
        <f>'BPA Product '!L14+'BPA Product '!O14-D14</f>
        <v>489.6</v>
      </c>
      <c r="D14" s="267">
        <f t="shared" si="12"/>
        <v>0</v>
      </c>
      <c r="E14" s="812">
        <f t="shared" si="13"/>
        <v>489.6</v>
      </c>
      <c r="F14" s="259">
        <f>'BPA Product '!Q14</f>
        <v>0</v>
      </c>
      <c r="G14" s="259">
        <f>'BPA Product '!R14</f>
        <v>108</v>
      </c>
      <c r="H14" s="543">
        <f>'BPA Product '!S14</f>
        <v>0</v>
      </c>
      <c r="I14" s="630">
        <f>'BPA Product '!U14</f>
        <v>0</v>
      </c>
      <c r="J14" s="630">
        <f>'BPA Product '!V14</f>
        <v>381.6</v>
      </c>
      <c r="K14" s="630">
        <f>'BPA Product '!X14</f>
        <v>0</v>
      </c>
      <c r="L14" s="543">
        <f>'BPA Product '!AG14</f>
        <v>0</v>
      </c>
      <c r="M14" s="543">
        <f>'BPA Product '!AF14</f>
        <v>0</v>
      </c>
      <c r="N14" s="543">
        <f>'BPA Product '!T14</f>
        <v>0</v>
      </c>
      <c r="O14" s="498">
        <f>'BPA Product '!AH14+'BPA Product '!AI14</f>
        <v>0</v>
      </c>
      <c r="P14" s="498"/>
      <c r="Q14" s="259">
        <f t="shared" si="14"/>
        <v>0</v>
      </c>
      <c r="R14" s="360"/>
      <c r="S14" s="498">
        <f t="shared" si="15"/>
        <v>342.15999999999934</v>
      </c>
      <c r="T14" s="498">
        <f t="shared" si="16"/>
        <v>0</v>
      </c>
      <c r="U14" s="508">
        <f>'BPA Product '!BD14+'BPA Product '!BE14</f>
        <v>0</v>
      </c>
      <c r="V14" s="508">
        <f>'BPA Product '!AJ14</f>
        <v>0</v>
      </c>
      <c r="W14" s="498">
        <f t="shared" si="17"/>
        <v>342.15999999999934</v>
      </c>
      <c r="X14" s="507"/>
      <c r="Y14" s="259">
        <f t="shared" si="18"/>
        <v>0</v>
      </c>
      <c r="Z14" s="259">
        <f>'BPA Product '!M14</f>
        <v>0</v>
      </c>
      <c r="AA14" s="260">
        <f>'BPA Product '!Y14</f>
        <v>0</v>
      </c>
      <c r="AB14" s="260">
        <f>'BPA Product '!Z14</f>
        <v>0</v>
      </c>
      <c r="AC14" s="260">
        <f>'BPA Product '!AA14</f>
        <v>0</v>
      </c>
      <c r="AD14" s="259">
        <f t="shared" si="19"/>
        <v>0</v>
      </c>
      <c r="AE14" s="360"/>
      <c r="AF14" s="259">
        <f t="shared" si="20"/>
        <v>0</v>
      </c>
      <c r="AG14" s="259">
        <f>'BPA Product '!N14</f>
        <v>0</v>
      </c>
      <c r="AH14" s="260">
        <f>'BPA Product '!AB14</f>
        <v>0</v>
      </c>
      <c r="AI14" s="260">
        <f>'BPA Product '!AC14</f>
        <v>0</v>
      </c>
      <c r="AJ14" s="260">
        <f>'BPA Product '!AD14</f>
        <v>0</v>
      </c>
      <c r="AK14" s="259">
        <f t="shared" si="21"/>
        <v>0</v>
      </c>
      <c r="AL14" s="258"/>
      <c r="AM14" s="259">
        <f t="shared" si="22"/>
        <v>594</v>
      </c>
      <c r="AN14" s="259">
        <f t="shared" si="23"/>
        <v>0</v>
      </c>
      <c r="AO14" s="633"/>
      <c r="AP14" s="633"/>
      <c r="AQ14" s="259">
        <f>'BPA Product '!AQ14</f>
        <v>0</v>
      </c>
      <c r="AR14" s="259">
        <f t="shared" si="24"/>
        <v>594</v>
      </c>
      <c r="AS14" s="258"/>
      <c r="AT14" s="259">
        <f t="shared" si="25"/>
        <v>954.00000000000614</v>
      </c>
      <c r="AU14" s="259">
        <f t="shared" si="26"/>
        <v>381.6</v>
      </c>
      <c r="AV14" s="1363"/>
      <c r="AW14" s="1363"/>
      <c r="AX14" s="259">
        <f>'BPA Product '!AR14</f>
        <v>0</v>
      </c>
      <c r="AY14" s="259">
        <f t="shared" si="27"/>
        <v>1335.6000000000063</v>
      </c>
      <c r="AZ14" s="258"/>
      <c r="BA14" s="260">
        <f t="shared" si="28"/>
        <v>0</v>
      </c>
      <c r="BB14" s="259">
        <f t="shared" si="29"/>
        <v>0</v>
      </c>
      <c r="BC14" s="637"/>
      <c r="BD14" s="636"/>
      <c r="BE14" s="685">
        <f>'BPA Product '!AS14</f>
        <v>0</v>
      </c>
      <c r="BF14" s="259">
        <f t="shared" si="30"/>
        <v>0</v>
      </c>
      <c r="BG14" s="258"/>
      <c r="BH14" s="259">
        <f t="shared" si="31"/>
        <v>-2.9842794901924208E-12</v>
      </c>
      <c r="BI14" s="259">
        <f t="shared" si="0"/>
        <v>0</v>
      </c>
      <c r="BJ14" s="633"/>
      <c r="BK14" s="633"/>
      <c r="BL14" s="259">
        <f>'BPA Product '!AM14</f>
        <v>0</v>
      </c>
      <c r="BM14" s="259">
        <f t="shared" si="32"/>
        <v>-2.9842794901924208E-12</v>
      </c>
      <c r="BN14" s="258"/>
      <c r="BO14" s="259">
        <f t="shared" si="33"/>
        <v>711.00000000000045</v>
      </c>
      <c r="BP14" s="259">
        <f t="shared" si="34"/>
        <v>108</v>
      </c>
      <c r="BQ14" s="637"/>
      <c r="BR14" s="636"/>
      <c r="BS14" s="259">
        <f>'BPA Product '!AO14</f>
        <v>0</v>
      </c>
      <c r="BT14" s="259">
        <f t="shared" si="59"/>
        <v>819.00000000000045</v>
      </c>
      <c r="BU14" s="258"/>
      <c r="BV14" s="1161">
        <f t="shared" si="36"/>
        <v>0</v>
      </c>
      <c r="BW14" s="259">
        <f t="shared" si="1"/>
        <v>0</v>
      </c>
      <c r="BX14" s="637"/>
      <c r="BY14" s="636"/>
      <c r="BZ14" s="685">
        <f>'BPA Product '!AP14</f>
        <v>0</v>
      </c>
      <c r="CA14" s="259">
        <f t="shared" si="2"/>
        <v>0</v>
      </c>
      <c r="CB14" s="258"/>
      <c r="CC14" s="810">
        <f t="shared" si="37"/>
        <v>150</v>
      </c>
      <c r="CD14" s="810">
        <f t="shared" si="38"/>
        <v>0</v>
      </c>
      <c r="CE14" s="811"/>
      <c r="CF14" s="811"/>
      <c r="CG14" s="498">
        <f>'BPA Product '!AN14</f>
        <v>0</v>
      </c>
      <c r="CH14" s="810">
        <f t="shared" si="39"/>
        <v>150</v>
      </c>
      <c r="CI14" s="258"/>
      <c r="CJ14" s="810">
        <f t="shared" si="40"/>
        <v>0</v>
      </c>
      <c r="CK14" s="810">
        <f t="shared" si="3"/>
        <v>0</v>
      </c>
      <c r="CL14" s="811"/>
      <c r="CM14" s="811"/>
      <c r="CN14" s="498">
        <f>'BPA Product '!AS14</f>
        <v>0</v>
      </c>
      <c r="CO14" s="810">
        <f t="shared" si="41"/>
        <v>0</v>
      </c>
      <c r="CP14" s="258"/>
      <c r="CQ14" s="810">
        <f t="shared" si="42"/>
        <v>97.199999999999989</v>
      </c>
      <c r="CR14" s="810">
        <f t="shared" si="4"/>
        <v>0</v>
      </c>
      <c r="CS14" s="811"/>
      <c r="CT14" s="811"/>
      <c r="CU14" s="811"/>
      <c r="CV14" s="498">
        <f>'BPA Product '!AV14</f>
        <v>0</v>
      </c>
      <c r="CW14" s="259">
        <f t="shared" si="43"/>
        <v>97.199999999999989</v>
      </c>
      <c r="CX14" s="258"/>
      <c r="CY14" s="810">
        <f t="shared" si="44"/>
        <v>0</v>
      </c>
      <c r="CZ14" s="810"/>
      <c r="DA14" s="811"/>
      <c r="DB14" s="811"/>
      <c r="DC14" s="811"/>
      <c r="DD14" s="498">
        <f>'BPA Product '!AW14</f>
        <v>0</v>
      </c>
      <c r="DE14" s="259">
        <f t="shared" si="45"/>
        <v>0</v>
      </c>
      <c r="DF14" s="258"/>
      <c r="DG14" s="259">
        <f t="shared" si="46"/>
        <v>0</v>
      </c>
      <c r="DH14" s="260">
        <f t="shared" si="5"/>
        <v>0</v>
      </c>
      <c r="DI14" s="631"/>
      <c r="DJ14" s="639"/>
      <c r="DK14" s="260">
        <f>'BPA Product '!AX14</f>
        <v>0</v>
      </c>
      <c r="DL14" s="259">
        <f t="shared" si="47"/>
        <v>0</v>
      </c>
      <c r="DM14" s="258"/>
      <c r="DN14" s="259">
        <f t="shared" si="48"/>
        <v>0</v>
      </c>
      <c r="DO14" s="260">
        <f t="shared" si="6"/>
        <v>0</v>
      </c>
      <c r="DP14" s="633"/>
      <c r="DQ14" s="1358"/>
      <c r="DR14" s="260">
        <f>'BPA Product '!AY14</f>
        <v>0</v>
      </c>
      <c r="DS14" s="259">
        <f t="shared" si="49"/>
        <v>0</v>
      </c>
      <c r="DT14" s="258"/>
      <c r="DU14" s="259">
        <f t="shared" si="50"/>
        <v>-1.7763568394002505E-14</v>
      </c>
      <c r="DV14" s="260">
        <f t="shared" si="7"/>
        <v>0</v>
      </c>
      <c r="DW14" s="631"/>
      <c r="DX14" s="639"/>
      <c r="DY14" s="260">
        <f>'BPA Product '!AZ14</f>
        <v>0</v>
      </c>
      <c r="DZ14" s="259">
        <f t="shared" si="51"/>
        <v>-1.7763568394002505E-14</v>
      </c>
      <c r="EA14" s="258"/>
      <c r="EB14" s="263">
        <f t="shared" si="52"/>
        <v>0</v>
      </c>
      <c r="EC14" s="263">
        <f t="shared" si="8"/>
        <v>0</v>
      </c>
      <c r="ED14" s="639"/>
      <c r="EE14" s="639"/>
      <c r="EF14" s="263">
        <f>'BPA Product '!BA14</f>
        <v>0</v>
      </c>
      <c r="EG14" s="685">
        <f t="shared" si="53"/>
        <v>0</v>
      </c>
      <c r="EH14" s="258"/>
      <c r="EI14" s="263">
        <f t="shared" si="54"/>
        <v>0</v>
      </c>
      <c r="EJ14" s="263">
        <f t="shared" si="9"/>
        <v>0</v>
      </c>
      <c r="EK14" s="639"/>
      <c r="EL14" s="639"/>
      <c r="EM14" s="263">
        <f>'BPA Product '!BB14</f>
        <v>0</v>
      </c>
      <c r="EN14" s="685">
        <f t="shared" si="55"/>
        <v>0</v>
      </c>
      <c r="EO14" s="258"/>
      <c r="EP14" s="685">
        <f t="shared" si="56"/>
        <v>0</v>
      </c>
      <c r="EQ14" s="663">
        <f t="shared" si="10"/>
        <v>0</v>
      </c>
      <c r="ER14" s="664"/>
      <c r="ES14" s="664"/>
      <c r="ET14" s="809">
        <f>'BPA Product '!BC14</f>
        <v>0</v>
      </c>
      <c r="EU14" s="685">
        <f t="shared" si="57"/>
        <v>0</v>
      </c>
      <c r="EV14" s="258"/>
    </row>
    <row r="15" spans="1:152">
      <c r="A15" s="257">
        <f t="shared" si="58"/>
        <v>43809</v>
      </c>
      <c r="B15" s="261">
        <f t="shared" si="11"/>
        <v>0</v>
      </c>
      <c r="C15" s="501">
        <f>'BPA Product '!L15+'BPA Product '!O15-D15</f>
        <v>624.80999999999995</v>
      </c>
      <c r="D15" s="267">
        <f t="shared" si="12"/>
        <v>0</v>
      </c>
      <c r="E15" s="812">
        <f t="shared" si="13"/>
        <v>624.80999999999995</v>
      </c>
      <c r="F15" s="259">
        <f>'BPA Product '!Q15</f>
        <v>0</v>
      </c>
      <c r="G15" s="259">
        <f>'BPA Product '!R15</f>
        <v>0</v>
      </c>
      <c r="H15" s="543">
        <f>'BPA Product '!S15</f>
        <v>0</v>
      </c>
      <c r="I15" s="630">
        <f>'BPA Product '!U15</f>
        <v>0</v>
      </c>
      <c r="J15" s="630">
        <f>'BPA Product '!V15</f>
        <v>97.200000000000045</v>
      </c>
      <c r="K15" s="630">
        <f>'BPA Product '!X15</f>
        <v>0</v>
      </c>
      <c r="L15" s="543">
        <f>'BPA Product '!AG15</f>
        <v>0</v>
      </c>
      <c r="M15" s="543">
        <f>'BPA Product '!AF15</f>
        <v>15.3</v>
      </c>
      <c r="N15" s="543">
        <f>'BPA Product '!T15</f>
        <v>0</v>
      </c>
      <c r="O15" s="498">
        <f>'BPA Product '!AH15+'BPA Product '!AI15</f>
        <v>512.30999999999995</v>
      </c>
      <c r="P15" s="498"/>
      <c r="Q15" s="259">
        <f t="shared" si="14"/>
        <v>0</v>
      </c>
      <c r="R15" s="360"/>
      <c r="S15" s="498">
        <f t="shared" si="15"/>
        <v>342.15999999999934</v>
      </c>
      <c r="T15" s="498">
        <f t="shared" si="16"/>
        <v>512.30999999999995</v>
      </c>
      <c r="U15" s="508">
        <f>'BPA Product '!BD15+'BPA Product '!BE15</f>
        <v>0</v>
      </c>
      <c r="V15" s="508">
        <f>'BPA Product '!AJ15</f>
        <v>0</v>
      </c>
      <c r="W15" s="498">
        <f t="shared" si="17"/>
        <v>854.46999999999935</v>
      </c>
      <c r="X15" s="507"/>
      <c r="Y15" s="259">
        <f t="shared" si="18"/>
        <v>0</v>
      </c>
      <c r="Z15" s="259">
        <f>'BPA Product '!M15</f>
        <v>0</v>
      </c>
      <c r="AA15" s="260">
        <f>'BPA Product '!Y15</f>
        <v>0</v>
      </c>
      <c r="AB15" s="260">
        <f>'BPA Product '!Z15</f>
        <v>0</v>
      </c>
      <c r="AC15" s="260">
        <f>'BPA Product '!AA15</f>
        <v>0</v>
      </c>
      <c r="AD15" s="259">
        <f t="shared" si="19"/>
        <v>0</v>
      </c>
      <c r="AE15" s="360"/>
      <c r="AF15" s="259">
        <f t="shared" si="20"/>
        <v>0</v>
      </c>
      <c r="AG15" s="259">
        <f>'BPA Product '!N15</f>
        <v>0</v>
      </c>
      <c r="AH15" s="260">
        <f>'BPA Product '!AB15</f>
        <v>0</v>
      </c>
      <c r="AI15" s="260">
        <f>'BPA Product '!AC15</f>
        <v>0</v>
      </c>
      <c r="AJ15" s="260">
        <f>'BPA Product '!AD15</f>
        <v>0</v>
      </c>
      <c r="AK15" s="259">
        <f t="shared" si="21"/>
        <v>0</v>
      </c>
      <c r="AL15" s="258"/>
      <c r="AM15" s="259">
        <f t="shared" si="22"/>
        <v>594</v>
      </c>
      <c r="AN15" s="259">
        <f t="shared" si="23"/>
        <v>0</v>
      </c>
      <c r="AO15" s="633"/>
      <c r="AP15" s="633"/>
      <c r="AQ15" s="259">
        <f>'BPA Product '!AQ15</f>
        <v>180</v>
      </c>
      <c r="AR15" s="259">
        <f t="shared" si="24"/>
        <v>414</v>
      </c>
      <c r="AS15" s="258"/>
      <c r="AT15" s="259">
        <f t="shared" si="25"/>
        <v>1335.6000000000063</v>
      </c>
      <c r="AU15" s="259">
        <f t="shared" si="26"/>
        <v>97.200000000000045</v>
      </c>
      <c r="AV15" s="1363"/>
      <c r="AW15" s="1363"/>
      <c r="AX15" s="259">
        <f>'BPA Product '!AR15</f>
        <v>0</v>
      </c>
      <c r="AY15" s="259">
        <f t="shared" si="27"/>
        <v>1432.8000000000063</v>
      </c>
      <c r="AZ15" s="258"/>
      <c r="BA15" s="260">
        <f t="shared" si="28"/>
        <v>0</v>
      </c>
      <c r="BB15" s="259">
        <f t="shared" si="29"/>
        <v>0</v>
      </c>
      <c r="BC15" s="637"/>
      <c r="BD15" s="636"/>
      <c r="BE15" s="685">
        <f>'BPA Product '!AS15</f>
        <v>0</v>
      </c>
      <c r="BF15" s="259">
        <f t="shared" si="30"/>
        <v>0</v>
      </c>
      <c r="BG15" s="258"/>
      <c r="BH15" s="259">
        <f t="shared" si="31"/>
        <v>-2.9842794901924208E-12</v>
      </c>
      <c r="BI15" s="259">
        <f t="shared" si="0"/>
        <v>0</v>
      </c>
      <c r="BJ15" s="633"/>
      <c r="BK15" s="633"/>
      <c r="BL15" s="259">
        <f>'BPA Product '!AM15</f>
        <v>0</v>
      </c>
      <c r="BM15" s="259">
        <f t="shared" si="32"/>
        <v>-2.9842794901924208E-12</v>
      </c>
      <c r="BN15" s="258"/>
      <c r="BO15" s="259">
        <f t="shared" si="33"/>
        <v>819.00000000000045</v>
      </c>
      <c r="BP15" s="259">
        <f t="shared" si="34"/>
        <v>0</v>
      </c>
      <c r="BQ15" s="637"/>
      <c r="BR15" s="636"/>
      <c r="BS15" s="259">
        <f>'BPA Product '!AO15</f>
        <v>0</v>
      </c>
      <c r="BT15" s="259">
        <f t="shared" si="59"/>
        <v>819.00000000000045</v>
      </c>
      <c r="BU15" s="258"/>
      <c r="BV15" s="1161">
        <f t="shared" si="36"/>
        <v>0</v>
      </c>
      <c r="BW15" s="259">
        <f t="shared" si="1"/>
        <v>0</v>
      </c>
      <c r="BX15" s="637"/>
      <c r="BY15" s="636"/>
      <c r="BZ15" s="685">
        <f>'BPA Product '!AP15</f>
        <v>0</v>
      </c>
      <c r="CA15" s="259">
        <f t="shared" si="2"/>
        <v>0</v>
      </c>
      <c r="CB15" s="258"/>
      <c r="CC15" s="810">
        <f t="shared" si="37"/>
        <v>150</v>
      </c>
      <c r="CD15" s="810">
        <f t="shared" si="38"/>
        <v>0</v>
      </c>
      <c r="CE15" s="811"/>
      <c r="CF15" s="811"/>
      <c r="CG15" s="498">
        <f>'BPA Product '!AN15</f>
        <v>0</v>
      </c>
      <c r="CH15" s="810">
        <f t="shared" si="39"/>
        <v>150</v>
      </c>
      <c r="CI15" s="258"/>
      <c r="CJ15" s="810">
        <f t="shared" si="40"/>
        <v>0</v>
      </c>
      <c r="CK15" s="810">
        <f t="shared" si="3"/>
        <v>0</v>
      </c>
      <c r="CL15" s="811"/>
      <c r="CM15" s="811"/>
      <c r="CN15" s="498">
        <f>'BPA Product '!AS15</f>
        <v>0</v>
      </c>
      <c r="CO15" s="810">
        <f t="shared" si="41"/>
        <v>0</v>
      </c>
      <c r="CP15" s="258"/>
      <c r="CQ15" s="810">
        <f t="shared" si="42"/>
        <v>97.199999999999989</v>
      </c>
      <c r="CR15" s="810">
        <f t="shared" si="4"/>
        <v>15.3</v>
      </c>
      <c r="CS15" s="811"/>
      <c r="CT15" s="811"/>
      <c r="CU15" s="811"/>
      <c r="CV15" s="498">
        <f>'BPA Product '!AV15</f>
        <v>0</v>
      </c>
      <c r="CW15" s="259">
        <f t="shared" si="43"/>
        <v>112.49999999999999</v>
      </c>
      <c r="CX15" s="258"/>
      <c r="CY15" s="810">
        <f t="shared" si="44"/>
        <v>0</v>
      </c>
      <c r="CZ15" s="810"/>
      <c r="DA15" s="811"/>
      <c r="DB15" s="811"/>
      <c r="DC15" s="811"/>
      <c r="DD15" s="498">
        <f>'BPA Product '!AW15</f>
        <v>0</v>
      </c>
      <c r="DE15" s="259">
        <f t="shared" si="45"/>
        <v>0</v>
      </c>
      <c r="DF15" s="258"/>
      <c r="DG15" s="259">
        <f t="shared" si="46"/>
        <v>0</v>
      </c>
      <c r="DH15" s="260">
        <f t="shared" si="5"/>
        <v>0</v>
      </c>
      <c r="DI15" s="631"/>
      <c r="DJ15" s="639"/>
      <c r="DK15" s="260">
        <f>'BPA Product '!AX15</f>
        <v>0</v>
      </c>
      <c r="DL15" s="259">
        <f t="shared" si="47"/>
        <v>0</v>
      </c>
      <c r="DM15" s="258"/>
      <c r="DN15" s="259">
        <f t="shared" si="48"/>
        <v>0</v>
      </c>
      <c r="DO15" s="260">
        <f t="shared" si="6"/>
        <v>0</v>
      </c>
      <c r="DP15" s="633"/>
      <c r="DQ15" s="1358"/>
      <c r="DR15" s="260">
        <f>'BPA Product '!AY15</f>
        <v>0</v>
      </c>
      <c r="DS15" s="259">
        <f t="shared" si="49"/>
        <v>0</v>
      </c>
      <c r="DT15" s="258"/>
      <c r="DU15" s="259">
        <f t="shared" si="50"/>
        <v>-1.7763568394002505E-14</v>
      </c>
      <c r="DV15" s="260">
        <f t="shared" si="7"/>
        <v>0</v>
      </c>
      <c r="DW15" s="631"/>
      <c r="DX15" s="639"/>
      <c r="DY15" s="260">
        <f>'BPA Product '!AZ15</f>
        <v>0</v>
      </c>
      <c r="DZ15" s="259">
        <f t="shared" si="51"/>
        <v>-1.7763568394002505E-14</v>
      </c>
      <c r="EA15" s="258"/>
      <c r="EB15" s="263">
        <f t="shared" si="52"/>
        <v>0</v>
      </c>
      <c r="EC15" s="263">
        <f t="shared" si="8"/>
        <v>0</v>
      </c>
      <c r="ED15" s="639"/>
      <c r="EE15" s="639"/>
      <c r="EF15" s="263">
        <f>'BPA Product '!BA15</f>
        <v>0</v>
      </c>
      <c r="EG15" s="685">
        <f t="shared" si="53"/>
        <v>0</v>
      </c>
      <c r="EH15" s="258"/>
      <c r="EI15" s="263">
        <f t="shared" si="54"/>
        <v>0</v>
      </c>
      <c r="EJ15" s="263">
        <f t="shared" si="9"/>
        <v>0</v>
      </c>
      <c r="EK15" s="639"/>
      <c r="EL15" s="639"/>
      <c r="EM15" s="263">
        <f>'BPA Product '!BB15</f>
        <v>0</v>
      </c>
      <c r="EN15" s="685">
        <f t="shared" si="55"/>
        <v>0</v>
      </c>
      <c r="EO15" s="258"/>
      <c r="EP15" s="685">
        <f t="shared" si="56"/>
        <v>0</v>
      </c>
      <c r="EQ15" s="663">
        <f t="shared" si="10"/>
        <v>0</v>
      </c>
      <c r="ER15" s="664"/>
      <c r="ES15" s="664"/>
      <c r="ET15" s="809">
        <f>'BPA Product '!BC15</f>
        <v>0</v>
      </c>
      <c r="EU15" s="685">
        <f t="shared" si="57"/>
        <v>0</v>
      </c>
      <c r="EV15" s="258"/>
    </row>
    <row r="16" spans="1:152">
      <c r="A16" s="257">
        <f t="shared" si="58"/>
        <v>43810</v>
      </c>
      <c r="B16" s="261">
        <f t="shared" si="11"/>
        <v>0</v>
      </c>
      <c r="C16" s="501">
        <f>'BPA Product '!L16+'BPA Product '!O16-D16</f>
        <v>496.8</v>
      </c>
      <c r="D16" s="267">
        <f t="shared" si="12"/>
        <v>0</v>
      </c>
      <c r="E16" s="812">
        <f t="shared" si="13"/>
        <v>496.8</v>
      </c>
      <c r="F16" s="259">
        <f>'BPA Product '!Q16</f>
        <v>0</v>
      </c>
      <c r="G16" s="259">
        <f>'BPA Product '!R16</f>
        <v>0</v>
      </c>
      <c r="H16" s="543">
        <f>'BPA Product '!S16</f>
        <v>0</v>
      </c>
      <c r="I16" s="630">
        <f>'BPA Product '!U16</f>
        <v>0</v>
      </c>
      <c r="J16" s="630">
        <f>'BPA Product '!V16</f>
        <v>493.2</v>
      </c>
      <c r="K16" s="630">
        <f>'BPA Product '!X16</f>
        <v>0</v>
      </c>
      <c r="L16" s="543">
        <f>'BPA Product '!AG16</f>
        <v>0</v>
      </c>
      <c r="M16" s="543">
        <f>'BPA Product '!AF16</f>
        <v>3.6</v>
      </c>
      <c r="N16" s="543">
        <f>'BPA Product '!T16</f>
        <v>0</v>
      </c>
      <c r="O16" s="498">
        <f>'BPA Product '!AH16+'BPA Product '!AI16</f>
        <v>0</v>
      </c>
      <c r="P16" s="498"/>
      <c r="Q16" s="259">
        <f t="shared" si="14"/>
        <v>0</v>
      </c>
      <c r="R16" s="360"/>
      <c r="S16" s="498">
        <f t="shared" si="15"/>
        <v>854.46999999999935</v>
      </c>
      <c r="T16" s="543">
        <f t="shared" si="16"/>
        <v>0</v>
      </c>
      <c r="U16" s="508">
        <f>'BPA Product '!BD16+'BPA Product '!BE16</f>
        <v>0</v>
      </c>
      <c r="V16" s="544">
        <f>'BPA Product '!AJ16</f>
        <v>0</v>
      </c>
      <c r="W16" s="498">
        <f t="shared" si="17"/>
        <v>854.46999999999935</v>
      </c>
      <c r="X16" s="507"/>
      <c r="Y16" s="259">
        <f t="shared" si="18"/>
        <v>0</v>
      </c>
      <c r="Z16" s="259">
        <f>'BPA Product '!M16</f>
        <v>0</v>
      </c>
      <c r="AA16" s="260">
        <f>'BPA Product '!Y16</f>
        <v>0</v>
      </c>
      <c r="AB16" s="260">
        <f>'BPA Product '!Z16</f>
        <v>0</v>
      </c>
      <c r="AC16" s="260">
        <f>'BPA Product '!AA16</f>
        <v>0</v>
      </c>
      <c r="AD16" s="259">
        <f t="shared" si="19"/>
        <v>0</v>
      </c>
      <c r="AE16" s="360"/>
      <c r="AF16" s="259">
        <f t="shared" si="20"/>
        <v>0</v>
      </c>
      <c r="AG16" s="259">
        <f>'BPA Product '!N16</f>
        <v>0</v>
      </c>
      <c r="AH16" s="260">
        <f>'BPA Product '!AB16</f>
        <v>0</v>
      </c>
      <c r="AI16" s="260">
        <f>'BPA Product '!AC16</f>
        <v>0</v>
      </c>
      <c r="AJ16" s="260">
        <f>'BPA Product '!AD16</f>
        <v>0</v>
      </c>
      <c r="AK16" s="259">
        <f t="shared" si="21"/>
        <v>0</v>
      </c>
      <c r="AL16" s="258"/>
      <c r="AM16" s="259">
        <f t="shared" si="22"/>
        <v>414</v>
      </c>
      <c r="AN16" s="259">
        <f t="shared" si="23"/>
        <v>0</v>
      </c>
      <c r="AO16" s="633"/>
      <c r="AP16" s="633"/>
      <c r="AQ16" s="259">
        <f>'BPA Product '!AQ16</f>
        <v>306</v>
      </c>
      <c r="AR16" s="259">
        <f t="shared" si="24"/>
        <v>108</v>
      </c>
      <c r="AS16" s="258"/>
      <c r="AT16" s="259">
        <f t="shared" si="25"/>
        <v>1432.8000000000063</v>
      </c>
      <c r="AU16" s="259">
        <f t="shared" si="26"/>
        <v>493.2</v>
      </c>
      <c r="AV16" s="1363"/>
      <c r="AW16" s="1363"/>
      <c r="AX16" s="259">
        <f>'BPA Product '!AR16</f>
        <v>0</v>
      </c>
      <c r="AY16" s="259">
        <f t="shared" si="27"/>
        <v>1926.0000000000064</v>
      </c>
      <c r="AZ16" s="258"/>
      <c r="BA16" s="260">
        <f t="shared" si="28"/>
        <v>0</v>
      </c>
      <c r="BB16" s="259">
        <f t="shared" si="29"/>
        <v>0</v>
      </c>
      <c r="BC16" s="637"/>
      <c r="BD16" s="636"/>
      <c r="BE16" s="685">
        <f>'BPA Product '!AS16</f>
        <v>0</v>
      </c>
      <c r="BF16" s="259">
        <f t="shared" si="30"/>
        <v>0</v>
      </c>
      <c r="BG16" s="258"/>
      <c r="BH16" s="259">
        <f t="shared" si="31"/>
        <v>-2.9842794901924208E-12</v>
      </c>
      <c r="BI16" s="259">
        <f t="shared" si="0"/>
        <v>0</v>
      </c>
      <c r="BJ16" s="633"/>
      <c r="BK16" s="633"/>
      <c r="BL16" s="259">
        <f>'BPA Product '!AM16</f>
        <v>0</v>
      </c>
      <c r="BM16" s="259">
        <f t="shared" si="32"/>
        <v>-2.9842794901924208E-12</v>
      </c>
      <c r="BN16" s="258"/>
      <c r="BO16" s="259">
        <f t="shared" si="33"/>
        <v>819.00000000000045</v>
      </c>
      <c r="BP16" s="259">
        <f t="shared" si="34"/>
        <v>0</v>
      </c>
      <c r="BQ16" s="637"/>
      <c r="BR16" s="636"/>
      <c r="BS16" s="259">
        <f>'BPA Product '!AO16</f>
        <v>0</v>
      </c>
      <c r="BT16" s="259">
        <f t="shared" si="59"/>
        <v>819.00000000000045</v>
      </c>
      <c r="BU16" s="258"/>
      <c r="BV16" s="1161">
        <f t="shared" si="36"/>
        <v>0</v>
      </c>
      <c r="BW16" s="259">
        <f t="shared" si="1"/>
        <v>0</v>
      </c>
      <c r="BX16" s="637"/>
      <c r="BY16" s="636"/>
      <c r="BZ16" s="685">
        <f>'BPA Product '!AP16</f>
        <v>0</v>
      </c>
      <c r="CA16" s="259">
        <f t="shared" si="2"/>
        <v>0</v>
      </c>
      <c r="CB16" s="258"/>
      <c r="CC16" s="810">
        <f t="shared" si="37"/>
        <v>150</v>
      </c>
      <c r="CD16" s="810">
        <f t="shared" si="38"/>
        <v>0</v>
      </c>
      <c r="CE16" s="811"/>
      <c r="CF16" s="811"/>
      <c r="CG16" s="498">
        <f>'BPA Product '!AN16</f>
        <v>45</v>
      </c>
      <c r="CH16" s="810">
        <f t="shared" si="39"/>
        <v>105</v>
      </c>
      <c r="CI16" s="258"/>
      <c r="CJ16" s="810">
        <f t="shared" si="40"/>
        <v>0</v>
      </c>
      <c r="CK16" s="810">
        <f t="shared" si="3"/>
        <v>0</v>
      </c>
      <c r="CL16" s="811"/>
      <c r="CM16" s="811"/>
      <c r="CN16" s="498">
        <f>'BPA Product '!AS16</f>
        <v>0</v>
      </c>
      <c r="CO16" s="810">
        <f t="shared" si="41"/>
        <v>0</v>
      </c>
      <c r="CP16" s="258"/>
      <c r="CQ16" s="810">
        <f t="shared" si="42"/>
        <v>112.49999999999999</v>
      </c>
      <c r="CR16" s="810">
        <f t="shared" si="4"/>
        <v>3.6</v>
      </c>
      <c r="CS16" s="811"/>
      <c r="CT16" s="811"/>
      <c r="CU16" s="811"/>
      <c r="CV16" s="498">
        <f>'BPA Product '!AV16</f>
        <v>0</v>
      </c>
      <c r="CW16" s="259">
        <f t="shared" si="43"/>
        <v>116.09999999999998</v>
      </c>
      <c r="CX16" s="258"/>
      <c r="CY16" s="810">
        <f t="shared" si="44"/>
        <v>0</v>
      </c>
      <c r="CZ16" s="810"/>
      <c r="DA16" s="811"/>
      <c r="DB16" s="811"/>
      <c r="DC16" s="811"/>
      <c r="DD16" s="498">
        <f>'BPA Product '!AW16</f>
        <v>0</v>
      </c>
      <c r="DE16" s="259">
        <f t="shared" si="45"/>
        <v>0</v>
      </c>
      <c r="DF16" s="258"/>
      <c r="DG16" s="259">
        <f t="shared" si="46"/>
        <v>0</v>
      </c>
      <c r="DH16" s="260">
        <f t="shared" si="5"/>
        <v>0</v>
      </c>
      <c r="DI16" s="631"/>
      <c r="DJ16" s="639"/>
      <c r="DK16" s="260">
        <f>'BPA Product '!AX16</f>
        <v>0</v>
      </c>
      <c r="DL16" s="259">
        <f t="shared" si="47"/>
        <v>0</v>
      </c>
      <c r="DM16" s="258"/>
      <c r="DN16" s="259">
        <f t="shared" si="48"/>
        <v>0</v>
      </c>
      <c r="DO16" s="260">
        <f t="shared" si="6"/>
        <v>0</v>
      </c>
      <c r="DP16" s="633"/>
      <c r="DQ16" s="1358"/>
      <c r="DR16" s="260">
        <f>'BPA Product '!AY16</f>
        <v>0</v>
      </c>
      <c r="DS16" s="259">
        <f t="shared" si="49"/>
        <v>0</v>
      </c>
      <c r="DT16" s="258"/>
      <c r="DU16" s="259">
        <f t="shared" si="50"/>
        <v>-1.7763568394002505E-14</v>
      </c>
      <c r="DV16" s="260">
        <f t="shared" si="7"/>
        <v>0</v>
      </c>
      <c r="DW16" s="631"/>
      <c r="DX16" s="639"/>
      <c r="DY16" s="260">
        <f>'BPA Product '!AZ16</f>
        <v>0</v>
      </c>
      <c r="DZ16" s="259">
        <f t="shared" si="51"/>
        <v>-1.7763568394002505E-14</v>
      </c>
      <c r="EA16" s="258"/>
      <c r="EB16" s="263">
        <f t="shared" si="52"/>
        <v>0</v>
      </c>
      <c r="EC16" s="263">
        <f t="shared" si="8"/>
        <v>0</v>
      </c>
      <c r="ED16" s="639"/>
      <c r="EE16" s="639"/>
      <c r="EF16" s="263">
        <f>'BPA Product '!BA16</f>
        <v>0</v>
      </c>
      <c r="EG16" s="685">
        <f t="shared" si="53"/>
        <v>0</v>
      </c>
      <c r="EH16" s="258"/>
      <c r="EI16" s="263">
        <f t="shared" si="54"/>
        <v>0</v>
      </c>
      <c r="EJ16" s="263">
        <f t="shared" si="9"/>
        <v>0</v>
      </c>
      <c r="EK16" s="639"/>
      <c r="EL16" s="639"/>
      <c r="EM16" s="263">
        <f>'BPA Product '!BB16</f>
        <v>0</v>
      </c>
      <c r="EN16" s="685">
        <f t="shared" si="55"/>
        <v>0</v>
      </c>
      <c r="EO16" s="258"/>
      <c r="EP16" s="685">
        <f t="shared" si="56"/>
        <v>0</v>
      </c>
      <c r="EQ16" s="663">
        <f t="shared" si="10"/>
        <v>0</v>
      </c>
      <c r="ER16" s="664"/>
      <c r="ES16" s="664"/>
      <c r="ET16" s="809">
        <f>'BPA Product '!BC16</f>
        <v>0</v>
      </c>
      <c r="EU16" s="685">
        <f t="shared" si="57"/>
        <v>0</v>
      </c>
      <c r="EV16" s="258"/>
    </row>
    <row r="17" spans="1:152">
      <c r="A17" s="257">
        <f t="shared" si="58"/>
        <v>43811</v>
      </c>
      <c r="B17" s="261">
        <f t="shared" si="11"/>
        <v>0</v>
      </c>
      <c r="C17" s="501">
        <f>'BPA Product '!L17+'BPA Product '!O17-D17</f>
        <v>454.5</v>
      </c>
      <c r="D17" s="267">
        <f t="shared" si="12"/>
        <v>0</v>
      </c>
      <c r="E17" s="812">
        <f t="shared" si="13"/>
        <v>454.5</v>
      </c>
      <c r="F17" s="259">
        <f>'BPA Product '!Q17</f>
        <v>0</v>
      </c>
      <c r="G17" s="259">
        <f>'BPA Product '!R17</f>
        <v>0</v>
      </c>
      <c r="H17" s="543">
        <f>'BPA Product '!S17</f>
        <v>0</v>
      </c>
      <c r="I17" s="630">
        <f>'BPA Product '!U17</f>
        <v>0</v>
      </c>
      <c r="J17" s="630">
        <f>'BPA Product '!V17</f>
        <v>450</v>
      </c>
      <c r="K17" s="630">
        <f>'BPA Product '!X17</f>
        <v>0</v>
      </c>
      <c r="L17" s="543">
        <f>'BPA Product '!AG17</f>
        <v>0</v>
      </c>
      <c r="M17" s="543">
        <f>'BPA Product '!AF17</f>
        <v>4.5</v>
      </c>
      <c r="N17" s="543">
        <f>'BPA Product '!T17</f>
        <v>0</v>
      </c>
      <c r="O17" s="498">
        <f>'BPA Product '!AH17+'BPA Product '!AI17</f>
        <v>0</v>
      </c>
      <c r="P17" s="543"/>
      <c r="Q17" s="259">
        <f t="shared" si="14"/>
        <v>0</v>
      </c>
      <c r="R17" s="360"/>
      <c r="S17" s="498">
        <f t="shared" si="15"/>
        <v>854.46999999999935</v>
      </c>
      <c r="T17" s="543">
        <f t="shared" si="16"/>
        <v>0</v>
      </c>
      <c r="U17" s="508">
        <f>'BPA Product '!BD17+'BPA Product '!BE17</f>
        <v>45.91</v>
      </c>
      <c r="V17" s="544">
        <f>'BPA Product '!AJ17</f>
        <v>0</v>
      </c>
      <c r="W17" s="498">
        <f t="shared" si="17"/>
        <v>808.55999999999938</v>
      </c>
      <c r="X17" s="507"/>
      <c r="Y17" s="259">
        <f t="shared" si="18"/>
        <v>0</v>
      </c>
      <c r="Z17" s="259">
        <f>'BPA Product '!M17</f>
        <v>0</v>
      </c>
      <c r="AA17" s="260">
        <f>'BPA Product '!Y17</f>
        <v>0</v>
      </c>
      <c r="AB17" s="260">
        <f>'BPA Product '!Z17</f>
        <v>0</v>
      </c>
      <c r="AC17" s="260">
        <f>'BPA Product '!AA17</f>
        <v>0</v>
      </c>
      <c r="AD17" s="259">
        <f t="shared" si="19"/>
        <v>0</v>
      </c>
      <c r="AE17" s="360"/>
      <c r="AF17" s="259">
        <f t="shared" si="20"/>
        <v>0</v>
      </c>
      <c r="AG17" s="259">
        <f>'BPA Product '!N17</f>
        <v>0</v>
      </c>
      <c r="AH17" s="260">
        <f>'BPA Product '!AB17</f>
        <v>0</v>
      </c>
      <c r="AI17" s="260">
        <f>'BPA Product '!AC17</f>
        <v>0</v>
      </c>
      <c r="AJ17" s="260">
        <f>'BPA Product '!AD17</f>
        <v>0</v>
      </c>
      <c r="AK17" s="259">
        <f t="shared" si="21"/>
        <v>0</v>
      </c>
      <c r="AL17" s="258"/>
      <c r="AM17" s="259">
        <f t="shared" si="22"/>
        <v>108</v>
      </c>
      <c r="AN17" s="259">
        <f t="shared" si="23"/>
        <v>0</v>
      </c>
      <c r="AO17" s="633"/>
      <c r="AP17" s="633"/>
      <c r="AQ17" s="259">
        <f>'BPA Product '!AQ17</f>
        <v>0</v>
      </c>
      <c r="AR17" s="259">
        <f t="shared" si="24"/>
        <v>108</v>
      </c>
      <c r="AS17" s="258"/>
      <c r="AT17" s="259">
        <f t="shared" si="25"/>
        <v>1926.0000000000064</v>
      </c>
      <c r="AU17" s="259">
        <f t="shared" si="26"/>
        <v>450</v>
      </c>
      <c r="AV17" s="1363"/>
      <c r="AW17" s="1363"/>
      <c r="AX17" s="259">
        <f>'BPA Product '!AR17</f>
        <v>0</v>
      </c>
      <c r="AY17" s="259">
        <f t="shared" si="27"/>
        <v>2376.0000000000064</v>
      </c>
      <c r="AZ17" s="258"/>
      <c r="BA17" s="260">
        <f t="shared" si="28"/>
        <v>0</v>
      </c>
      <c r="BB17" s="259">
        <f t="shared" si="29"/>
        <v>0</v>
      </c>
      <c r="BC17" s="637"/>
      <c r="BD17" s="636"/>
      <c r="BE17" s="685">
        <f>'BPA Product '!AS17</f>
        <v>0</v>
      </c>
      <c r="BF17" s="259">
        <f t="shared" si="30"/>
        <v>0</v>
      </c>
      <c r="BG17" s="258"/>
      <c r="BH17" s="259">
        <f t="shared" si="31"/>
        <v>-2.9842794901924208E-12</v>
      </c>
      <c r="BI17" s="259">
        <f t="shared" si="0"/>
        <v>0</v>
      </c>
      <c r="BJ17" s="633"/>
      <c r="BK17" s="633"/>
      <c r="BL17" s="259">
        <f>'BPA Product '!AM17</f>
        <v>0</v>
      </c>
      <c r="BM17" s="259">
        <f t="shared" si="32"/>
        <v>-2.9842794901924208E-12</v>
      </c>
      <c r="BN17" s="258"/>
      <c r="BO17" s="259">
        <f t="shared" si="33"/>
        <v>819.00000000000045</v>
      </c>
      <c r="BP17" s="259">
        <f t="shared" si="34"/>
        <v>0</v>
      </c>
      <c r="BQ17" s="637"/>
      <c r="BR17" s="636"/>
      <c r="BS17" s="259">
        <f>'BPA Product '!AO17</f>
        <v>0</v>
      </c>
      <c r="BT17" s="259">
        <f t="shared" si="59"/>
        <v>819.00000000000045</v>
      </c>
      <c r="BU17" s="258"/>
      <c r="BV17" s="1161">
        <f t="shared" si="36"/>
        <v>0</v>
      </c>
      <c r="BW17" s="259">
        <f t="shared" si="1"/>
        <v>0</v>
      </c>
      <c r="BX17" s="637"/>
      <c r="BY17" s="636"/>
      <c r="BZ17" s="685">
        <f>'BPA Product '!AP17</f>
        <v>0</v>
      </c>
      <c r="CA17" s="259">
        <f t="shared" si="2"/>
        <v>0</v>
      </c>
      <c r="CB17" s="258"/>
      <c r="CC17" s="810">
        <f t="shared" si="37"/>
        <v>105</v>
      </c>
      <c r="CD17" s="810">
        <f t="shared" si="38"/>
        <v>0</v>
      </c>
      <c r="CE17" s="811"/>
      <c r="CF17" s="811"/>
      <c r="CG17" s="498">
        <f>'BPA Product '!AN17</f>
        <v>0</v>
      </c>
      <c r="CH17" s="810">
        <f t="shared" si="39"/>
        <v>105</v>
      </c>
      <c r="CI17" s="258"/>
      <c r="CJ17" s="810">
        <f t="shared" si="40"/>
        <v>0</v>
      </c>
      <c r="CK17" s="810">
        <f t="shared" si="3"/>
        <v>0</v>
      </c>
      <c r="CL17" s="811"/>
      <c r="CM17" s="811"/>
      <c r="CN17" s="498">
        <f>'BPA Product '!AS17</f>
        <v>0</v>
      </c>
      <c r="CO17" s="810">
        <f t="shared" si="41"/>
        <v>0</v>
      </c>
      <c r="CP17" s="258"/>
      <c r="CQ17" s="810">
        <f t="shared" si="42"/>
        <v>116.09999999999998</v>
      </c>
      <c r="CR17" s="810">
        <f t="shared" si="4"/>
        <v>4.5</v>
      </c>
      <c r="CS17" s="811"/>
      <c r="CT17" s="811"/>
      <c r="CU17" s="811"/>
      <c r="CV17" s="498">
        <f>'BPA Product '!AV17</f>
        <v>0</v>
      </c>
      <c r="CW17" s="259">
        <f t="shared" si="43"/>
        <v>120.59999999999998</v>
      </c>
      <c r="CX17" s="258"/>
      <c r="CY17" s="810">
        <f t="shared" si="44"/>
        <v>0</v>
      </c>
      <c r="CZ17" s="810"/>
      <c r="DA17" s="811"/>
      <c r="DB17" s="811"/>
      <c r="DC17" s="811"/>
      <c r="DD17" s="498">
        <f>'BPA Product '!AW17</f>
        <v>0</v>
      </c>
      <c r="DE17" s="259">
        <f t="shared" si="45"/>
        <v>0</v>
      </c>
      <c r="DF17" s="258"/>
      <c r="DG17" s="259">
        <f t="shared" si="46"/>
        <v>0</v>
      </c>
      <c r="DH17" s="260">
        <f t="shared" si="5"/>
        <v>0</v>
      </c>
      <c r="DI17" s="631"/>
      <c r="DJ17" s="639"/>
      <c r="DK17" s="260">
        <f>'BPA Product '!AX17</f>
        <v>0</v>
      </c>
      <c r="DL17" s="259">
        <f t="shared" si="47"/>
        <v>0</v>
      </c>
      <c r="DM17" s="258"/>
      <c r="DN17" s="259">
        <f t="shared" si="48"/>
        <v>0</v>
      </c>
      <c r="DO17" s="260">
        <f t="shared" si="6"/>
        <v>0</v>
      </c>
      <c r="DP17" s="633"/>
      <c r="DQ17" s="1358"/>
      <c r="DR17" s="260">
        <f>'BPA Product '!AY17</f>
        <v>0</v>
      </c>
      <c r="DS17" s="259">
        <f t="shared" si="49"/>
        <v>0</v>
      </c>
      <c r="DT17" s="258"/>
      <c r="DU17" s="259">
        <f t="shared" si="50"/>
        <v>-1.7763568394002505E-14</v>
      </c>
      <c r="DV17" s="260">
        <f t="shared" si="7"/>
        <v>0</v>
      </c>
      <c r="DW17" s="631"/>
      <c r="DX17" s="639"/>
      <c r="DY17" s="260">
        <f>'BPA Product '!AZ17</f>
        <v>0</v>
      </c>
      <c r="DZ17" s="259">
        <f t="shared" si="51"/>
        <v>-1.7763568394002505E-14</v>
      </c>
      <c r="EA17" s="258"/>
      <c r="EB17" s="263">
        <f t="shared" si="52"/>
        <v>0</v>
      </c>
      <c r="EC17" s="263">
        <f t="shared" si="8"/>
        <v>0</v>
      </c>
      <c r="ED17" s="639"/>
      <c r="EE17" s="639"/>
      <c r="EF17" s="263">
        <f>'BPA Product '!BA17</f>
        <v>0</v>
      </c>
      <c r="EG17" s="685">
        <f t="shared" si="53"/>
        <v>0</v>
      </c>
      <c r="EH17" s="258"/>
      <c r="EI17" s="263">
        <f t="shared" si="54"/>
        <v>0</v>
      </c>
      <c r="EJ17" s="263">
        <f t="shared" si="9"/>
        <v>0</v>
      </c>
      <c r="EK17" s="639"/>
      <c r="EL17" s="639"/>
      <c r="EM17" s="263">
        <f>'BPA Product '!BB17</f>
        <v>0</v>
      </c>
      <c r="EN17" s="685">
        <f t="shared" si="55"/>
        <v>0</v>
      </c>
      <c r="EO17" s="258"/>
      <c r="EP17" s="685">
        <f t="shared" si="56"/>
        <v>0</v>
      </c>
      <c r="EQ17" s="663">
        <f t="shared" si="10"/>
        <v>0</v>
      </c>
      <c r="ER17" s="664"/>
      <c r="ES17" s="664"/>
      <c r="ET17" s="809">
        <f>'BPA Product '!BC17</f>
        <v>0</v>
      </c>
      <c r="EU17" s="685">
        <f t="shared" si="57"/>
        <v>0</v>
      </c>
      <c r="EV17" s="258"/>
    </row>
    <row r="18" spans="1:152">
      <c r="A18" s="257">
        <f t="shared" si="58"/>
        <v>43812</v>
      </c>
      <c r="B18" s="261">
        <f t="shared" si="11"/>
        <v>0</v>
      </c>
      <c r="C18" s="501">
        <f>'BPA Product '!L18+'BPA Product '!O18-D18</f>
        <v>450.9</v>
      </c>
      <c r="D18" s="267">
        <f t="shared" si="12"/>
        <v>0</v>
      </c>
      <c r="E18" s="812">
        <f t="shared" si="13"/>
        <v>450.9</v>
      </c>
      <c r="F18" s="259">
        <f>'BPA Product '!Q18</f>
        <v>0</v>
      </c>
      <c r="G18" s="259">
        <f>'BPA Product '!R18</f>
        <v>0</v>
      </c>
      <c r="H18" s="543">
        <f>'BPA Product '!S18</f>
        <v>0</v>
      </c>
      <c r="I18" s="630">
        <f>'BPA Product '!U18</f>
        <v>0</v>
      </c>
      <c r="J18" s="630">
        <f>'BPA Product '!V18</f>
        <v>450</v>
      </c>
      <c r="K18" s="630">
        <f>'BPA Product '!X18</f>
        <v>0</v>
      </c>
      <c r="L18" s="543">
        <f>'BPA Product '!AG18</f>
        <v>0</v>
      </c>
      <c r="M18" s="543">
        <f>'BPA Product '!AF18</f>
        <v>0.9</v>
      </c>
      <c r="N18" s="543">
        <f>'BPA Product '!T18</f>
        <v>0</v>
      </c>
      <c r="O18" s="498">
        <f>'BPA Product '!AH18+'BPA Product '!AI18</f>
        <v>0</v>
      </c>
      <c r="P18" s="498"/>
      <c r="Q18" s="259">
        <f t="shared" si="14"/>
        <v>0</v>
      </c>
      <c r="R18" s="360"/>
      <c r="S18" s="498">
        <f t="shared" si="15"/>
        <v>808.55999999999938</v>
      </c>
      <c r="T18" s="498">
        <f t="shared" si="16"/>
        <v>0</v>
      </c>
      <c r="U18" s="508">
        <f>'BPA Product '!BD18+'BPA Product '!BE18</f>
        <v>150.21</v>
      </c>
      <c r="V18" s="508">
        <f>'BPA Product '!AJ18</f>
        <v>0</v>
      </c>
      <c r="W18" s="498">
        <f t="shared" si="17"/>
        <v>658.34999999999934</v>
      </c>
      <c r="X18" s="507"/>
      <c r="Y18" s="259">
        <f t="shared" si="18"/>
        <v>0</v>
      </c>
      <c r="Z18" s="259">
        <f>'BPA Product '!M18</f>
        <v>0</v>
      </c>
      <c r="AA18" s="260">
        <f>'BPA Product '!Y18</f>
        <v>0</v>
      </c>
      <c r="AB18" s="260">
        <f>'BPA Product '!Z18</f>
        <v>0</v>
      </c>
      <c r="AC18" s="260">
        <f>'BPA Product '!AA18</f>
        <v>0</v>
      </c>
      <c r="AD18" s="259">
        <f t="shared" si="19"/>
        <v>0</v>
      </c>
      <c r="AE18" s="360"/>
      <c r="AF18" s="259">
        <f t="shared" si="20"/>
        <v>0</v>
      </c>
      <c r="AG18" s="259">
        <f>'BPA Product '!N18</f>
        <v>0</v>
      </c>
      <c r="AH18" s="260">
        <f>'BPA Product '!AB18</f>
        <v>0</v>
      </c>
      <c r="AI18" s="260">
        <f>'BPA Product '!AC18</f>
        <v>0</v>
      </c>
      <c r="AJ18" s="260">
        <f>'BPA Product '!AD18</f>
        <v>0</v>
      </c>
      <c r="AK18" s="259">
        <f t="shared" si="21"/>
        <v>0</v>
      </c>
      <c r="AL18" s="258"/>
      <c r="AM18" s="259">
        <f t="shared" si="22"/>
        <v>108</v>
      </c>
      <c r="AN18" s="259">
        <f t="shared" si="23"/>
        <v>0</v>
      </c>
      <c r="AO18" s="633"/>
      <c r="AP18" s="633"/>
      <c r="AQ18" s="259">
        <f>'BPA Product '!AQ18</f>
        <v>0</v>
      </c>
      <c r="AR18" s="259">
        <f t="shared" si="24"/>
        <v>108</v>
      </c>
      <c r="AS18" s="258"/>
      <c r="AT18" s="259">
        <f t="shared" si="25"/>
        <v>2376.0000000000064</v>
      </c>
      <c r="AU18" s="259">
        <f t="shared" si="26"/>
        <v>450</v>
      </c>
      <c r="AV18" s="1363"/>
      <c r="AW18" s="1363"/>
      <c r="AX18" s="259">
        <f>'BPA Product '!AR18</f>
        <v>0</v>
      </c>
      <c r="AY18" s="259">
        <f t="shared" si="27"/>
        <v>2826.0000000000064</v>
      </c>
      <c r="AZ18" s="258"/>
      <c r="BA18" s="260">
        <f t="shared" si="28"/>
        <v>0</v>
      </c>
      <c r="BB18" s="259">
        <f t="shared" si="29"/>
        <v>0</v>
      </c>
      <c r="BC18" s="637"/>
      <c r="BD18" s="636"/>
      <c r="BE18" s="685">
        <f>'BPA Product '!AS18</f>
        <v>0</v>
      </c>
      <c r="BF18" s="259">
        <f t="shared" si="30"/>
        <v>0</v>
      </c>
      <c r="BG18" s="258"/>
      <c r="BH18" s="259">
        <f t="shared" si="31"/>
        <v>-2.9842794901924208E-12</v>
      </c>
      <c r="BI18" s="259">
        <f t="shared" si="0"/>
        <v>0</v>
      </c>
      <c r="BJ18" s="633"/>
      <c r="BK18" s="633"/>
      <c r="BL18" s="259">
        <f>'BPA Product '!AM18</f>
        <v>0</v>
      </c>
      <c r="BM18" s="259">
        <f t="shared" si="32"/>
        <v>-2.9842794901924208E-12</v>
      </c>
      <c r="BN18" s="258"/>
      <c r="BO18" s="259">
        <f t="shared" si="33"/>
        <v>819.00000000000045</v>
      </c>
      <c r="BP18" s="259">
        <f t="shared" si="34"/>
        <v>0</v>
      </c>
      <c r="BQ18" s="637"/>
      <c r="BR18" s="636"/>
      <c r="BS18" s="259">
        <f>'BPA Product '!AO18</f>
        <v>0</v>
      </c>
      <c r="BT18" s="259">
        <f t="shared" si="59"/>
        <v>819.00000000000045</v>
      </c>
      <c r="BU18" s="258"/>
      <c r="BV18" s="1161">
        <f t="shared" si="36"/>
        <v>0</v>
      </c>
      <c r="BW18" s="259">
        <f t="shared" si="1"/>
        <v>0</v>
      </c>
      <c r="BX18" s="637"/>
      <c r="BY18" s="636"/>
      <c r="BZ18" s="685">
        <f>'BPA Product '!AP18</f>
        <v>0</v>
      </c>
      <c r="CA18" s="259">
        <f t="shared" si="2"/>
        <v>0</v>
      </c>
      <c r="CB18" s="258"/>
      <c r="CC18" s="810">
        <f t="shared" si="37"/>
        <v>105</v>
      </c>
      <c r="CD18" s="810">
        <f t="shared" si="38"/>
        <v>0</v>
      </c>
      <c r="CE18" s="811"/>
      <c r="CF18" s="811"/>
      <c r="CG18" s="498">
        <f>'BPA Product '!AN18</f>
        <v>0</v>
      </c>
      <c r="CH18" s="810">
        <f t="shared" si="39"/>
        <v>105</v>
      </c>
      <c r="CI18" s="258"/>
      <c r="CJ18" s="810">
        <f t="shared" si="40"/>
        <v>0</v>
      </c>
      <c r="CK18" s="810">
        <f t="shared" si="3"/>
        <v>0</v>
      </c>
      <c r="CL18" s="811"/>
      <c r="CM18" s="811"/>
      <c r="CN18" s="498">
        <f>'BPA Product '!AS18</f>
        <v>0</v>
      </c>
      <c r="CO18" s="810">
        <f t="shared" si="41"/>
        <v>0</v>
      </c>
      <c r="CP18" s="258"/>
      <c r="CQ18" s="810">
        <f t="shared" si="42"/>
        <v>120.59999999999998</v>
      </c>
      <c r="CR18" s="810">
        <f t="shared" si="4"/>
        <v>0.9</v>
      </c>
      <c r="CS18" s="811"/>
      <c r="CT18" s="811"/>
      <c r="CU18" s="811"/>
      <c r="CV18" s="498">
        <f>'BPA Product '!AV18</f>
        <v>0</v>
      </c>
      <c r="CW18" s="259">
        <f t="shared" si="43"/>
        <v>121.49999999999999</v>
      </c>
      <c r="CX18" s="258"/>
      <c r="CY18" s="810">
        <f t="shared" si="44"/>
        <v>0</v>
      </c>
      <c r="CZ18" s="810"/>
      <c r="DA18" s="811"/>
      <c r="DB18" s="811"/>
      <c r="DC18" s="811"/>
      <c r="DD18" s="498">
        <f>'BPA Product '!AW18</f>
        <v>0</v>
      </c>
      <c r="DE18" s="259">
        <f t="shared" si="45"/>
        <v>0</v>
      </c>
      <c r="DF18" s="258"/>
      <c r="DG18" s="259">
        <f t="shared" si="46"/>
        <v>0</v>
      </c>
      <c r="DH18" s="260">
        <f t="shared" si="5"/>
        <v>0</v>
      </c>
      <c r="DI18" s="631"/>
      <c r="DJ18" s="639"/>
      <c r="DK18" s="260">
        <f>'BPA Product '!AX18</f>
        <v>0</v>
      </c>
      <c r="DL18" s="259">
        <f t="shared" si="47"/>
        <v>0</v>
      </c>
      <c r="DM18" s="258"/>
      <c r="DN18" s="259">
        <f t="shared" si="48"/>
        <v>0</v>
      </c>
      <c r="DO18" s="260">
        <f t="shared" si="6"/>
        <v>0</v>
      </c>
      <c r="DP18" s="633"/>
      <c r="DQ18" s="1358"/>
      <c r="DR18" s="260">
        <f>'BPA Product '!AY18</f>
        <v>0</v>
      </c>
      <c r="DS18" s="259">
        <f t="shared" si="49"/>
        <v>0</v>
      </c>
      <c r="DT18" s="258"/>
      <c r="DU18" s="259">
        <f t="shared" si="50"/>
        <v>-1.7763568394002505E-14</v>
      </c>
      <c r="DV18" s="260">
        <f t="shared" si="7"/>
        <v>0</v>
      </c>
      <c r="DW18" s="631"/>
      <c r="DX18" s="639"/>
      <c r="DY18" s="260">
        <f>'BPA Product '!AZ18</f>
        <v>0</v>
      </c>
      <c r="DZ18" s="259">
        <f t="shared" si="51"/>
        <v>-1.7763568394002505E-14</v>
      </c>
      <c r="EA18" s="258"/>
      <c r="EB18" s="263">
        <f t="shared" si="52"/>
        <v>0</v>
      </c>
      <c r="EC18" s="263">
        <f t="shared" si="8"/>
        <v>0</v>
      </c>
      <c r="ED18" s="639"/>
      <c r="EE18" s="639"/>
      <c r="EF18" s="263">
        <f>'BPA Product '!BA18</f>
        <v>0</v>
      </c>
      <c r="EG18" s="685">
        <f t="shared" si="53"/>
        <v>0</v>
      </c>
      <c r="EH18" s="258"/>
      <c r="EI18" s="263">
        <f t="shared" si="54"/>
        <v>0</v>
      </c>
      <c r="EJ18" s="263">
        <f t="shared" si="9"/>
        <v>0</v>
      </c>
      <c r="EK18" s="639"/>
      <c r="EL18" s="639"/>
      <c r="EM18" s="263">
        <f>'BPA Product '!BB18</f>
        <v>0</v>
      </c>
      <c r="EN18" s="685">
        <f t="shared" si="55"/>
        <v>0</v>
      </c>
      <c r="EO18" s="258"/>
      <c r="EP18" s="685">
        <f t="shared" si="56"/>
        <v>0</v>
      </c>
      <c r="EQ18" s="663">
        <f t="shared" si="10"/>
        <v>0</v>
      </c>
      <c r="ER18" s="664"/>
      <c r="ES18" s="664"/>
      <c r="ET18" s="809">
        <f>'BPA Product '!BC18</f>
        <v>0</v>
      </c>
      <c r="EU18" s="685">
        <f t="shared" si="57"/>
        <v>0</v>
      </c>
      <c r="EV18" s="258"/>
    </row>
    <row r="19" spans="1:152">
      <c r="A19" s="257">
        <f t="shared" si="58"/>
        <v>43813</v>
      </c>
      <c r="B19" s="261">
        <f t="shared" si="11"/>
        <v>0</v>
      </c>
      <c r="C19" s="501">
        <f>'BPA Product '!L19+'BPA Product '!O19-D19</f>
        <v>171</v>
      </c>
      <c r="D19" s="267">
        <f t="shared" si="12"/>
        <v>0</v>
      </c>
      <c r="E19" s="812">
        <f t="shared" si="13"/>
        <v>171</v>
      </c>
      <c r="F19" s="259">
        <f>'BPA Product '!Q19</f>
        <v>0</v>
      </c>
      <c r="G19" s="259">
        <f>'BPA Product '!R19</f>
        <v>9</v>
      </c>
      <c r="H19" s="543">
        <f>'BPA Product '!S19</f>
        <v>0</v>
      </c>
      <c r="I19" s="630">
        <f>'BPA Product '!U19</f>
        <v>0</v>
      </c>
      <c r="J19" s="630">
        <f>'BPA Product '!V19</f>
        <v>162</v>
      </c>
      <c r="K19" s="630">
        <f>'BPA Product '!X19</f>
        <v>0</v>
      </c>
      <c r="L19" s="543">
        <f>'BPA Product '!AG19</f>
        <v>0</v>
      </c>
      <c r="M19" s="543">
        <f>'BPA Product '!AF19</f>
        <v>0</v>
      </c>
      <c r="N19" s="543">
        <f>'BPA Product '!T19</f>
        <v>0</v>
      </c>
      <c r="O19" s="498">
        <f>'BPA Product '!AH19+'BPA Product '!AI19</f>
        <v>0</v>
      </c>
      <c r="P19" s="498"/>
      <c r="Q19" s="259">
        <f t="shared" si="14"/>
        <v>0</v>
      </c>
      <c r="R19" s="360"/>
      <c r="S19" s="498">
        <f t="shared" si="15"/>
        <v>658.34999999999934</v>
      </c>
      <c r="T19" s="498">
        <f t="shared" si="16"/>
        <v>0</v>
      </c>
      <c r="U19" s="508">
        <f>'BPA Product '!BD19+'BPA Product '!BE19</f>
        <v>146.04</v>
      </c>
      <c r="V19" s="508">
        <f>'BPA Product '!AJ19</f>
        <v>0</v>
      </c>
      <c r="W19" s="498">
        <f t="shared" si="17"/>
        <v>512.30999999999938</v>
      </c>
      <c r="X19" s="507"/>
      <c r="Y19" s="259">
        <f t="shared" si="18"/>
        <v>0</v>
      </c>
      <c r="Z19" s="259">
        <f>'BPA Product '!M19</f>
        <v>0</v>
      </c>
      <c r="AA19" s="260">
        <f>'BPA Product '!Y19</f>
        <v>0</v>
      </c>
      <c r="AB19" s="260">
        <f>'BPA Product '!Z19</f>
        <v>0</v>
      </c>
      <c r="AC19" s="260">
        <f>'BPA Product '!AA19</f>
        <v>0</v>
      </c>
      <c r="AD19" s="259">
        <f t="shared" si="19"/>
        <v>0</v>
      </c>
      <c r="AE19" s="360"/>
      <c r="AF19" s="259">
        <f t="shared" si="20"/>
        <v>0</v>
      </c>
      <c r="AG19" s="259">
        <f>'BPA Product '!N19</f>
        <v>0</v>
      </c>
      <c r="AH19" s="260">
        <f>'BPA Product '!AB19</f>
        <v>0</v>
      </c>
      <c r="AI19" s="260">
        <f>'BPA Product '!AC19</f>
        <v>0</v>
      </c>
      <c r="AJ19" s="260">
        <f>'BPA Product '!AD19</f>
        <v>0</v>
      </c>
      <c r="AK19" s="259">
        <f t="shared" si="21"/>
        <v>0</v>
      </c>
      <c r="AL19" s="258"/>
      <c r="AM19" s="259">
        <f t="shared" si="22"/>
        <v>108</v>
      </c>
      <c r="AN19" s="259">
        <f t="shared" si="23"/>
        <v>0</v>
      </c>
      <c r="AO19" s="633"/>
      <c r="AP19" s="633"/>
      <c r="AQ19" s="259">
        <f>'BPA Product '!AQ19</f>
        <v>0</v>
      </c>
      <c r="AR19" s="259">
        <f t="shared" si="24"/>
        <v>108</v>
      </c>
      <c r="AS19" s="258"/>
      <c r="AT19" s="259">
        <f t="shared" si="25"/>
        <v>2826.0000000000064</v>
      </c>
      <c r="AU19" s="259">
        <f t="shared" si="26"/>
        <v>162</v>
      </c>
      <c r="AV19" s="1363"/>
      <c r="AW19" s="1363"/>
      <c r="AX19" s="259">
        <f>'BPA Product '!AR19</f>
        <v>378</v>
      </c>
      <c r="AY19" s="259">
        <f t="shared" si="27"/>
        <v>2610.0000000000064</v>
      </c>
      <c r="AZ19" s="258"/>
      <c r="BA19" s="260">
        <f t="shared" si="28"/>
        <v>0</v>
      </c>
      <c r="BB19" s="259">
        <f t="shared" si="29"/>
        <v>0</v>
      </c>
      <c r="BC19" s="637"/>
      <c r="BD19" s="636"/>
      <c r="BE19" s="685">
        <f>'BPA Product '!AS19</f>
        <v>0</v>
      </c>
      <c r="BF19" s="259">
        <f t="shared" si="30"/>
        <v>0</v>
      </c>
      <c r="BG19" s="258"/>
      <c r="BH19" s="259">
        <f t="shared" si="31"/>
        <v>-2.9842794901924208E-12</v>
      </c>
      <c r="BI19" s="259">
        <f t="shared" si="0"/>
        <v>0</v>
      </c>
      <c r="BJ19" s="633"/>
      <c r="BK19" s="633"/>
      <c r="BL19" s="259">
        <f>'BPA Product '!AM19</f>
        <v>0</v>
      </c>
      <c r="BM19" s="259">
        <f t="shared" si="32"/>
        <v>-2.9842794901924208E-12</v>
      </c>
      <c r="BN19" s="258"/>
      <c r="BO19" s="259">
        <f t="shared" si="33"/>
        <v>819.00000000000045</v>
      </c>
      <c r="BP19" s="259">
        <f t="shared" si="34"/>
        <v>9</v>
      </c>
      <c r="BQ19" s="637"/>
      <c r="BR19" s="636"/>
      <c r="BS19" s="259">
        <f>'BPA Product '!AO19</f>
        <v>0</v>
      </c>
      <c r="BT19" s="259">
        <f t="shared" si="59"/>
        <v>828.00000000000045</v>
      </c>
      <c r="BU19" s="258"/>
      <c r="BV19" s="1161">
        <f t="shared" si="36"/>
        <v>0</v>
      </c>
      <c r="BW19" s="259">
        <f t="shared" si="1"/>
        <v>0</v>
      </c>
      <c r="BX19" s="637"/>
      <c r="BY19" s="636"/>
      <c r="BZ19" s="685">
        <f>'BPA Product '!AP19</f>
        <v>0</v>
      </c>
      <c r="CA19" s="259">
        <f t="shared" si="2"/>
        <v>0</v>
      </c>
      <c r="CB19" s="258"/>
      <c r="CC19" s="810">
        <f t="shared" si="37"/>
        <v>105</v>
      </c>
      <c r="CD19" s="810">
        <f t="shared" si="38"/>
        <v>0</v>
      </c>
      <c r="CE19" s="811"/>
      <c r="CF19" s="811"/>
      <c r="CG19" s="498">
        <f>'BPA Product '!AN19</f>
        <v>0</v>
      </c>
      <c r="CH19" s="810">
        <f t="shared" si="39"/>
        <v>105</v>
      </c>
      <c r="CI19" s="258"/>
      <c r="CJ19" s="810">
        <f t="shared" si="40"/>
        <v>0</v>
      </c>
      <c r="CK19" s="810">
        <f t="shared" si="3"/>
        <v>0</v>
      </c>
      <c r="CL19" s="811"/>
      <c r="CM19" s="811"/>
      <c r="CN19" s="498">
        <f>'BPA Product '!AS19</f>
        <v>0</v>
      </c>
      <c r="CO19" s="810">
        <f t="shared" si="41"/>
        <v>0</v>
      </c>
      <c r="CP19" s="258"/>
      <c r="CQ19" s="810">
        <f t="shared" si="42"/>
        <v>121.49999999999999</v>
      </c>
      <c r="CR19" s="810">
        <f t="shared" si="4"/>
        <v>0</v>
      </c>
      <c r="CS19" s="811"/>
      <c r="CT19" s="811"/>
      <c r="CU19" s="811"/>
      <c r="CV19" s="498">
        <f>'BPA Product '!AV19</f>
        <v>0</v>
      </c>
      <c r="CW19" s="259">
        <f t="shared" si="43"/>
        <v>121.49999999999999</v>
      </c>
      <c r="CX19" s="258"/>
      <c r="CY19" s="810">
        <f t="shared" si="44"/>
        <v>0</v>
      </c>
      <c r="CZ19" s="810"/>
      <c r="DA19" s="811"/>
      <c r="DB19" s="811"/>
      <c r="DC19" s="811"/>
      <c r="DD19" s="498">
        <f>'BPA Product '!AW19</f>
        <v>0</v>
      </c>
      <c r="DE19" s="259">
        <f t="shared" si="45"/>
        <v>0</v>
      </c>
      <c r="DF19" s="258"/>
      <c r="DG19" s="259">
        <f t="shared" si="46"/>
        <v>0</v>
      </c>
      <c r="DH19" s="260">
        <f t="shared" si="5"/>
        <v>0</v>
      </c>
      <c r="DI19" s="631"/>
      <c r="DJ19" s="639"/>
      <c r="DK19" s="260">
        <f>'BPA Product '!AX19</f>
        <v>0</v>
      </c>
      <c r="DL19" s="259">
        <f t="shared" si="47"/>
        <v>0</v>
      </c>
      <c r="DM19" s="258"/>
      <c r="DN19" s="259">
        <f t="shared" si="48"/>
        <v>0</v>
      </c>
      <c r="DO19" s="260">
        <f t="shared" si="6"/>
        <v>0</v>
      </c>
      <c r="DP19" s="633"/>
      <c r="DQ19" s="1358"/>
      <c r="DR19" s="260">
        <f>'BPA Product '!AY19</f>
        <v>0</v>
      </c>
      <c r="DS19" s="259">
        <f t="shared" si="49"/>
        <v>0</v>
      </c>
      <c r="DT19" s="258"/>
      <c r="DU19" s="259">
        <f t="shared" si="50"/>
        <v>-1.7763568394002505E-14</v>
      </c>
      <c r="DV19" s="260">
        <f t="shared" si="7"/>
        <v>0</v>
      </c>
      <c r="DW19" s="631"/>
      <c r="DX19" s="639"/>
      <c r="DY19" s="260">
        <f>'BPA Product '!AZ19</f>
        <v>0</v>
      </c>
      <c r="DZ19" s="259">
        <f t="shared" si="51"/>
        <v>-1.7763568394002505E-14</v>
      </c>
      <c r="EA19" s="258"/>
      <c r="EB19" s="263">
        <f t="shared" si="52"/>
        <v>0</v>
      </c>
      <c r="EC19" s="263">
        <f t="shared" si="8"/>
        <v>0</v>
      </c>
      <c r="ED19" s="639"/>
      <c r="EE19" s="639"/>
      <c r="EF19" s="263">
        <f>'BPA Product '!BA19</f>
        <v>0</v>
      </c>
      <c r="EG19" s="685">
        <f t="shared" si="53"/>
        <v>0</v>
      </c>
      <c r="EH19" s="258"/>
      <c r="EI19" s="263">
        <f t="shared" si="54"/>
        <v>0</v>
      </c>
      <c r="EJ19" s="263">
        <f t="shared" si="9"/>
        <v>0</v>
      </c>
      <c r="EK19" s="639"/>
      <c r="EL19" s="639"/>
      <c r="EM19" s="263">
        <f>'BPA Product '!BB19</f>
        <v>0</v>
      </c>
      <c r="EN19" s="685">
        <f t="shared" si="55"/>
        <v>0</v>
      </c>
      <c r="EO19" s="258"/>
      <c r="EP19" s="685">
        <f t="shared" si="56"/>
        <v>0</v>
      </c>
      <c r="EQ19" s="663">
        <f t="shared" si="10"/>
        <v>0</v>
      </c>
      <c r="ER19" s="664"/>
      <c r="ES19" s="664"/>
      <c r="ET19" s="809">
        <f>'BPA Product '!BC19</f>
        <v>0</v>
      </c>
      <c r="EU19" s="685">
        <f t="shared" si="57"/>
        <v>0</v>
      </c>
      <c r="EV19" s="258"/>
    </row>
    <row r="20" spans="1:152">
      <c r="A20" s="257">
        <f t="shared" si="58"/>
        <v>43814</v>
      </c>
      <c r="B20" s="261">
        <f t="shared" si="11"/>
        <v>0</v>
      </c>
      <c r="C20" s="501">
        <f>'BPA Product '!L20+'BPA Product '!O20-D20</f>
        <v>0</v>
      </c>
      <c r="D20" s="267">
        <f t="shared" si="12"/>
        <v>0</v>
      </c>
      <c r="E20" s="812">
        <f t="shared" si="13"/>
        <v>0</v>
      </c>
      <c r="F20" s="259">
        <f>'BPA Product '!Q20</f>
        <v>0</v>
      </c>
      <c r="G20" s="259">
        <f>'BPA Product '!R20</f>
        <v>0</v>
      </c>
      <c r="H20" s="543">
        <f>'BPA Product '!S20</f>
        <v>0</v>
      </c>
      <c r="I20" s="630">
        <f>'BPA Product '!U20</f>
        <v>0</v>
      </c>
      <c r="J20" s="630">
        <f>'BPA Product '!V20</f>
        <v>0</v>
      </c>
      <c r="K20" s="630">
        <f>'BPA Product '!X20</f>
        <v>0</v>
      </c>
      <c r="L20" s="543">
        <f>'BPA Product '!AG20</f>
        <v>0</v>
      </c>
      <c r="M20" s="543">
        <f>'BPA Product '!AF20</f>
        <v>0</v>
      </c>
      <c r="N20" s="543">
        <f>'BPA Product '!T20</f>
        <v>0</v>
      </c>
      <c r="O20" s="498">
        <f>'BPA Product '!AH20+'BPA Product '!AI20</f>
        <v>0</v>
      </c>
      <c r="P20" s="498"/>
      <c r="Q20" s="259">
        <f t="shared" si="14"/>
        <v>0</v>
      </c>
      <c r="R20" s="360"/>
      <c r="S20" s="498">
        <f t="shared" si="15"/>
        <v>512.30999999999938</v>
      </c>
      <c r="T20" s="498">
        <f t="shared" si="16"/>
        <v>0</v>
      </c>
      <c r="U20" s="508">
        <f>'BPA Product '!BD20+'BPA Product '!BE20</f>
        <v>0</v>
      </c>
      <c r="V20" s="508">
        <f>'BPA Product '!AJ20</f>
        <v>0</v>
      </c>
      <c r="W20" s="498">
        <f t="shared" si="17"/>
        <v>512.30999999999938</v>
      </c>
      <c r="X20" s="507"/>
      <c r="Y20" s="259">
        <f t="shared" si="18"/>
        <v>0</v>
      </c>
      <c r="Z20" s="259">
        <f>'BPA Product '!M20</f>
        <v>0</v>
      </c>
      <c r="AA20" s="260">
        <f>'BPA Product '!Y20</f>
        <v>0</v>
      </c>
      <c r="AB20" s="260">
        <f>'BPA Product '!Z20</f>
        <v>0</v>
      </c>
      <c r="AC20" s="260">
        <f>'BPA Product '!AA20</f>
        <v>0</v>
      </c>
      <c r="AD20" s="259">
        <f t="shared" si="19"/>
        <v>0</v>
      </c>
      <c r="AE20" s="360"/>
      <c r="AF20" s="259">
        <f t="shared" si="20"/>
        <v>0</v>
      </c>
      <c r="AG20" s="259">
        <f>'BPA Product '!N20</f>
        <v>0</v>
      </c>
      <c r="AH20" s="260">
        <f>'BPA Product '!AB20</f>
        <v>0</v>
      </c>
      <c r="AI20" s="260">
        <f>'BPA Product '!AC20</f>
        <v>0</v>
      </c>
      <c r="AJ20" s="260">
        <f>'BPA Product '!AD20</f>
        <v>0</v>
      </c>
      <c r="AK20" s="259">
        <f t="shared" si="21"/>
        <v>0</v>
      </c>
      <c r="AL20" s="258"/>
      <c r="AM20" s="259">
        <f t="shared" si="22"/>
        <v>108</v>
      </c>
      <c r="AN20" s="259">
        <f t="shared" si="23"/>
        <v>0</v>
      </c>
      <c r="AO20" s="633"/>
      <c r="AP20" s="633"/>
      <c r="AQ20" s="259">
        <f>'BPA Product '!AQ20</f>
        <v>0</v>
      </c>
      <c r="AR20" s="259">
        <f t="shared" si="24"/>
        <v>108</v>
      </c>
      <c r="AS20" s="258"/>
      <c r="AT20" s="259">
        <f t="shared" si="25"/>
        <v>2610.0000000000064</v>
      </c>
      <c r="AU20" s="259">
        <f t="shared" si="26"/>
        <v>0</v>
      </c>
      <c r="AV20" s="1363"/>
      <c r="AW20" s="1363"/>
      <c r="AX20" s="259">
        <f>'BPA Product '!AR20</f>
        <v>0</v>
      </c>
      <c r="AY20" s="259">
        <f t="shared" si="27"/>
        <v>2610.0000000000064</v>
      </c>
      <c r="AZ20" s="258"/>
      <c r="BA20" s="260">
        <f t="shared" si="28"/>
        <v>0</v>
      </c>
      <c r="BB20" s="259">
        <f t="shared" si="29"/>
        <v>0</v>
      </c>
      <c r="BC20" s="637"/>
      <c r="BD20" s="636"/>
      <c r="BE20" s="685">
        <f>'BPA Product '!AS20</f>
        <v>0</v>
      </c>
      <c r="BF20" s="259">
        <f t="shared" si="30"/>
        <v>0</v>
      </c>
      <c r="BG20" s="258"/>
      <c r="BH20" s="259">
        <f t="shared" si="31"/>
        <v>-2.9842794901924208E-12</v>
      </c>
      <c r="BI20" s="259">
        <f t="shared" si="0"/>
        <v>0</v>
      </c>
      <c r="BJ20" s="633"/>
      <c r="BK20" s="633"/>
      <c r="BL20" s="259">
        <f>'BPA Product '!AM20</f>
        <v>0</v>
      </c>
      <c r="BM20" s="259">
        <f t="shared" si="32"/>
        <v>-2.9842794901924208E-12</v>
      </c>
      <c r="BN20" s="258"/>
      <c r="BO20" s="259">
        <f t="shared" si="33"/>
        <v>828.00000000000045</v>
      </c>
      <c r="BP20" s="259">
        <f t="shared" si="34"/>
        <v>0</v>
      </c>
      <c r="BQ20" s="637"/>
      <c r="BR20" s="636"/>
      <c r="BS20" s="259">
        <f>'BPA Product '!AO20</f>
        <v>0</v>
      </c>
      <c r="BT20" s="259">
        <f t="shared" si="59"/>
        <v>828.00000000000045</v>
      </c>
      <c r="BU20" s="258"/>
      <c r="BV20" s="1161">
        <f t="shared" si="36"/>
        <v>0</v>
      </c>
      <c r="BW20" s="259">
        <f t="shared" si="1"/>
        <v>0</v>
      </c>
      <c r="BX20" s="637"/>
      <c r="BY20" s="636"/>
      <c r="BZ20" s="685">
        <f>'BPA Product '!AP20</f>
        <v>0</v>
      </c>
      <c r="CA20" s="259">
        <f t="shared" si="2"/>
        <v>0</v>
      </c>
      <c r="CB20" s="258"/>
      <c r="CC20" s="810">
        <f t="shared" si="37"/>
        <v>105</v>
      </c>
      <c r="CD20" s="810">
        <f t="shared" si="38"/>
        <v>0</v>
      </c>
      <c r="CE20" s="811"/>
      <c r="CF20" s="811"/>
      <c r="CG20" s="498">
        <f>'BPA Product '!AN20</f>
        <v>0</v>
      </c>
      <c r="CH20" s="810">
        <f t="shared" si="39"/>
        <v>105</v>
      </c>
      <c r="CI20" s="258"/>
      <c r="CJ20" s="810">
        <f t="shared" si="40"/>
        <v>0</v>
      </c>
      <c r="CK20" s="810">
        <f t="shared" si="3"/>
        <v>0</v>
      </c>
      <c r="CL20" s="811"/>
      <c r="CM20" s="811"/>
      <c r="CN20" s="498">
        <f>'BPA Product '!AS20</f>
        <v>0</v>
      </c>
      <c r="CO20" s="810">
        <f t="shared" si="41"/>
        <v>0</v>
      </c>
      <c r="CP20" s="258"/>
      <c r="CQ20" s="810">
        <f t="shared" si="42"/>
        <v>121.49999999999999</v>
      </c>
      <c r="CR20" s="810">
        <f t="shared" si="4"/>
        <v>0</v>
      </c>
      <c r="CS20" s="811"/>
      <c r="CT20" s="811"/>
      <c r="CU20" s="811"/>
      <c r="CV20" s="498">
        <f>'BPA Product '!AV20</f>
        <v>0</v>
      </c>
      <c r="CW20" s="259">
        <f t="shared" si="43"/>
        <v>121.49999999999999</v>
      </c>
      <c r="CX20" s="258"/>
      <c r="CY20" s="810">
        <f t="shared" si="44"/>
        <v>0</v>
      </c>
      <c r="CZ20" s="810"/>
      <c r="DA20" s="811"/>
      <c r="DB20" s="811"/>
      <c r="DC20" s="811"/>
      <c r="DD20" s="498">
        <f>'BPA Product '!AW20</f>
        <v>0</v>
      </c>
      <c r="DE20" s="259">
        <f t="shared" si="45"/>
        <v>0</v>
      </c>
      <c r="DF20" s="258"/>
      <c r="DG20" s="259">
        <f t="shared" si="46"/>
        <v>0</v>
      </c>
      <c r="DH20" s="260">
        <f t="shared" si="5"/>
        <v>0</v>
      </c>
      <c r="DI20" s="631"/>
      <c r="DJ20" s="638"/>
      <c r="DK20" s="260">
        <f>'BPA Product '!AX20</f>
        <v>0</v>
      </c>
      <c r="DL20" s="259">
        <f t="shared" si="47"/>
        <v>0</v>
      </c>
      <c r="DM20" s="258"/>
      <c r="DN20" s="259">
        <f t="shared" si="48"/>
        <v>0</v>
      </c>
      <c r="DO20" s="260">
        <f t="shared" si="6"/>
        <v>0</v>
      </c>
      <c r="DP20" s="633"/>
      <c r="DQ20" s="1359"/>
      <c r="DR20" s="260">
        <f>'BPA Product '!AY20</f>
        <v>0</v>
      </c>
      <c r="DS20" s="259">
        <f t="shared" si="49"/>
        <v>0</v>
      </c>
      <c r="DT20" s="258"/>
      <c r="DU20" s="259">
        <f t="shared" si="50"/>
        <v>-1.7763568394002505E-14</v>
      </c>
      <c r="DV20" s="260">
        <f t="shared" si="7"/>
        <v>0</v>
      </c>
      <c r="DW20" s="631"/>
      <c r="DX20" s="638"/>
      <c r="DY20" s="260">
        <f>'BPA Product '!AZ20</f>
        <v>0</v>
      </c>
      <c r="DZ20" s="259">
        <f t="shared" si="51"/>
        <v>-1.7763568394002505E-14</v>
      </c>
      <c r="EA20" s="258"/>
      <c r="EB20" s="263">
        <f t="shared" si="52"/>
        <v>0</v>
      </c>
      <c r="EC20" s="263">
        <f t="shared" si="8"/>
        <v>0</v>
      </c>
      <c r="ED20" s="639"/>
      <c r="EE20" s="639"/>
      <c r="EF20" s="263">
        <f>'BPA Product '!BA20</f>
        <v>0</v>
      </c>
      <c r="EG20" s="685">
        <f t="shared" si="53"/>
        <v>0</v>
      </c>
      <c r="EH20" s="258"/>
      <c r="EI20" s="263">
        <f t="shared" si="54"/>
        <v>0</v>
      </c>
      <c r="EJ20" s="263">
        <f t="shared" si="9"/>
        <v>0</v>
      </c>
      <c r="EK20" s="639"/>
      <c r="EL20" s="639"/>
      <c r="EM20" s="263">
        <f>'BPA Product '!BB20</f>
        <v>0</v>
      </c>
      <c r="EN20" s="685">
        <f t="shared" si="55"/>
        <v>0</v>
      </c>
      <c r="EO20" s="258"/>
      <c r="EP20" s="685">
        <f t="shared" si="56"/>
        <v>0</v>
      </c>
      <c r="EQ20" s="663">
        <f t="shared" si="10"/>
        <v>0</v>
      </c>
      <c r="ER20" s="664"/>
      <c r="ES20" s="664"/>
      <c r="ET20" s="809">
        <f>'BPA Product '!BC20</f>
        <v>0</v>
      </c>
      <c r="EU20" s="685">
        <f t="shared" si="57"/>
        <v>0</v>
      </c>
      <c r="EV20" s="258"/>
    </row>
    <row r="21" spans="1:152">
      <c r="A21" s="257">
        <f t="shared" si="58"/>
        <v>43815</v>
      </c>
      <c r="B21" s="261">
        <f t="shared" si="11"/>
        <v>0</v>
      </c>
      <c r="C21" s="501">
        <f>'BPA Product '!L21+'BPA Product '!O21-D21</f>
        <v>317.7</v>
      </c>
      <c r="D21" s="267">
        <f t="shared" si="12"/>
        <v>0</v>
      </c>
      <c r="E21" s="812">
        <f t="shared" si="13"/>
        <v>317.7</v>
      </c>
      <c r="F21" s="259">
        <f>'BPA Product '!Q21</f>
        <v>0</v>
      </c>
      <c r="G21" s="259">
        <f>'BPA Product '!R21</f>
        <v>275.39999999999998</v>
      </c>
      <c r="H21" s="543">
        <f>'BPA Product '!S21</f>
        <v>0</v>
      </c>
      <c r="I21" s="630">
        <f>'BPA Product '!U21</f>
        <v>36</v>
      </c>
      <c r="J21" s="630">
        <f>'BPA Product '!V21</f>
        <v>-1.4210854715202004E-14</v>
      </c>
      <c r="K21" s="630">
        <f>'BPA Product '!X21</f>
        <v>0</v>
      </c>
      <c r="L21" s="543">
        <f>'BPA Product '!AG21</f>
        <v>0</v>
      </c>
      <c r="M21" s="543">
        <f>'BPA Product '!AF21</f>
        <v>6.3</v>
      </c>
      <c r="N21" s="543">
        <f>'BPA Product '!T21</f>
        <v>0</v>
      </c>
      <c r="O21" s="498">
        <f>'BPA Product '!AH21+'BPA Product '!AI21</f>
        <v>0</v>
      </c>
      <c r="P21" s="498"/>
      <c r="Q21" s="259">
        <f t="shared" si="14"/>
        <v>0</v>
      </c>
      <c r="R21" s="360"/>
      <c r="S21" s="498">
        <f t="shared" si="15"/>
        <v>512.30999999999938</v>
      </c>
      <c r="T21" s="498">
        <f t="shared" si="16"/>
        <v>0</v>
      </c>
      <c r="U21" s="508">
        <f>'BPA Product '!BD21+'BPA Product '!BE21</f>
        <v>135.41</v>
      </c>
      <c r="V21" s="508">
        <f>'BPA Product '!AJ21</f>
        <v>0</v>
      </c>
      <c r="W21" s="498">
        <f t="shared" si="17"/>
        <v>376.89999999999941</v>
      </c>
      <c r="X21" s="507"/>
      <c r="Y21" s="259">
        <f t="shared" si="18"/>
        <v>0</v>
      </c>
      <c r="Z21" s="259">
        <f>'BPA Product '!M21</f>
        <v>66.599999999999994</v>
      </c>
      <c r="AA21" s="260">
        <f>'BPA Product '!Y21</f>
        <v>0</v>
      </c>
      <c r="AB21" s="260">
        <f>'BPA Product '!Z21</f>
        <v>66.599999999999994</v>
      </c>
      <c r="AC21" s="260">
        <f>'BPA Product '!AA21</f>
        <v>0</v>
      </c>
      <c r="AD21" s="259">
        <f t="shared" si="19"/>
        <v>0</v>
      </c>
      <c r="AE21" s="360"/>
      <c r="AF21" s="259">
        <f t="shared" si="20"/>
        <v>0</v>
      </c>
      <c r="AG21" s="259">
        <f>'BPA Product '!N21</f>
        <v>0</v>
      </c>
      <c r="AH21" s="260">
        <f>'BPA Product '!AB21</f>
        <v>0</v>
      </c>
      <c r="AI21" s="260">
        <f>'BPA Product '!AC21</f>
        <v>0</v>
      </c>
      <c r="AJ21" s="260">
        <f>'BPA Product '!AD21</f>
        <v>0</v>
      </c>
      <c r="AK21" s="259">
        <f t="shared" si="21"/>
        <v>0</v>
      </c>
      <c r="AL21" s="258"/>
      <c r="AM21" s="259">
        <f t="shared" si="22"/>
        <v>108</v>
      </c>
      <c r="AN21" s="259">
        <f t="shared" si="23"/>
        <v>36</v>
      </c>
      <c r="AO21" s="633"/>
      <c r="AP21" s="634"/>
      <c r="AQ21" s="259">
        <f>'BPA Product '!AQ21</f>
        <v>0</v>
      </c>
      <c r="AR21" s="259">
        <f t="shared" si="24"/>
        <v>144</v>
      </c>
      <c r="AS21" s="258"/>
      <c r="AT21" s="259">
        <f t="shared" si="25"/>
        <v>2610.0000000000064</v>
      </c>
      <c r="AU21" s="259">
        <f t="shared" si="26"/>
        <v>-1.4210854715202004E-14</v>
      </c>
      <c r="AV21" s="1363"/>
      <c r="AW21" s="1364"/>
      <c r="AX21" s="259">
        <f>'BPA Product '!AR21</f>
        <v>0</v>
      </c>
      <c r="AY21" s="259">
        <f t="shared" si="27"/>
        <v>2610.0000000000064</v>
      </c>
      <c r="AZ21" s="258"/>
      <c r="BA21" s="260">
        <f t="shared" si="28"/>
        <v>0</v>
      </c>
      <c r="BB21" s="259">
        <f t="shared" si="29"/>
        <v>0</v>
      </c>
      <c r="BC21" s="637"/>
      <c r="BD21" s="636"/>
      <c r="BE21" s="685">
        <f>'BPA Product '!AS21</f>
        <v>0</v>
      </c>
      <c r="BF21" s="259">
        <f t="shared" si="30"/>
        <v>0</v>
      </c>
      <c r="BG21" s="258"/>
      <c r="BH21" s="259">
        <f t="shared" si="31"/>
        <v>-2.9842794901924208E-12</v>
      </c>
      <c r="BI21" s="259">
        <f t="shared" si="0"/>
        <v>0</v>
      </c>
      <c r="BJ21" s="633"/>
      <c r="BK21" s="634"/>
      <c r="BL21" s="259">
        <f>'BPA Product '!AM21</f>
        <v>0</v>
      </c>
      <c r="BM21" s="259">
        <f t="shared" si="32"/>
        <v>-2.9842794901924208E-12</v>
      </c>
      <c r="BN21" s="258"/>
      <c r="BO21" s="259">
        <f t="shared" si="33"/>
        <v>828.00000000000045</v>
      </c>
      <c r="BP21" s="259">
        <f t="shared" si="34"/>
        <v>275.39999999999998</v>
      </c>
      <c r="BQ21" s="637"/>
      <c r="BR21" s="636"/>
      <c r="BS21" s="259">
        <f>'BPA Product '!AO21</f>
        <v>108</v>
      </c>
      <c r="BT21" s="259">
        <f t="shared" si="59"/>
        <v>995.40000000000055</v>
      </c>
      <c r="BU21" s="258"/>
      <c r="BV21" s="1161">
        <f t="shared" si="36"/>
        <v>0</v>
      </c>
      <c r="BW21" s="259">
        <f t="shared" si="1"/>
        <v>0</v>
      </c>
      <c r="BX21" s="637"/>
      <c r="BY21" s="636"/>
      <c r="BZ21" s="685">
        <f>'BPA Product '!AP21</f>
        <v>0</v>
      </c>
      <c r="CA21" s="259">
        <f t="shared" si="2"/>
        <v>0</v>
      </c>
      <c r="CB21" s="258"/>
      <c r="CC21" s="810">
        <f t="shared" si="37"/>
        <v>105</v>
      </c>
      <c r="CD21" s="810">
        <f t="shared" si="38"/>
        <v>0</v>
      </c>
      <c r="CE21" s="811"/>
      <c r="CF21" s="811"/>
      <c r="CG21" s="498">
        <f>'BPA Product '!AN21</f>
        <v>0</v>
      </c>
      <c r="CH21" s="810">
        <f t="shared" si="39"/>
        <v>105</v>
      </c>
      <c r="CI21" s="258"/>
      <c r="CJ21" s="810">
        <f t="shared" si="40"/>
        <v>0</v>
      </c>
      <c r="CK21" s="810">
        <f t="shared" si="3"/>
        <v>0</v>
      </c>
      <c r="CL21" s="811"/>
      <c r="CM21" s="811"/>
      <c r="CN21" s="498">
        <f>'BPA Product '!AS21</f>
        <v>0</v>
      </c>
      <c r="CO21" s="810">
        <f t="shared" si="41"/>
        <v>0</v>
      </c>
      <c r="CP21" s="258"/>
      <c r="CQ21" s="810">
        <f t="shared" si="42"/>
        <v>121.49999999999999</v>
      </c>
      <c r="CR21" s="810">
        <f t="shared" si="4"/>
        <v>6.3</v>
      </c>
      <c r="CS21" s="811"/>
      <c r="CT21" s="811"/>
      <c r="CU21" s="811"/>
      <c r="CV21" s="498">
        <f>'BPA Product '!AV21</f>
        <v>0</v>
      </c>
      <c r="CW21" s="259">
        <f t="shared" si="43"/>
        <v>127.79999999999998</v>
      </c>
      <c r="CX21" s="258"/>
      <c r="CY21" s="810">
        <f t="shared" si="44"/>
        <v>0</v>
      </c>
      <c r="CZ21" s="810"/>
      <c r="DA21" s="811"/>
      <c r="DB21" s="811"/>
      <c r="DC21" s="811"/>
      <c r="DD21" s="498">
        <f>'BPA Product '!AW21</f>
        <v>0</v>
      </c>
      <c r="DE21" s="259">
        <f t="shared" si="45"/>
        <v>0</v>
      </c>
      <c r="DF21" s="258"/>
      <c r="DG21" s="259">
        <f t="shared" si="46"/>
        <v>0</v>
      </c>
      <c r="DH21" s="260">
        <f t="shared" si="5"/>
        <v>0</v>
      </c>
      <c r="DI21" s="631"/>
      <c r="DJ21" s="639"/>
      <c r="DK21" s="260">
        <f>'BPA Product '!AX21</f>
        <v>0</v>
      </c>
      <c r="DL21" s="259">
        <f t="shared" si="47"/>
        <v>0</v>
      </c>
      <c r="DM21" s="258"/>
      <c r="DN21" s="259">
        <f t="shared" si="48"/>
        <v>0</v>
      </c>
      <c r="DO21" s="260">
        <f t="shared" si="6"/>
        <v>66.599999999999994</v>
      </c>
      <c r="DP21" s="633"/>
      <c r="DQ21" s="1358"/>
      <c r="DR21" s="260">
        <f>'BPA Product '!AY21</f>
        <v>0</v>
      </c>
      <c r="DS21" s="259">
        <f t="shared" si="49"/>
        <v>66.599999999999994</v>
      </c>
      <c r="DT21" s="258"/>
      <c r="DU21" s="259">
        <f t="shared" si="50"/>
        <v>-1.7763568394002505E-14</v>
      </c>
      <c r="DV21" s="260">
        <f t="shared" si="7"/>
        <v>0</v>
      </c>
      <c r="DW21" s="631"/>
      <c r="DX21" s="639"/>
      <c r="DY21" s="260">
        <f>'BPA Product '!AZ21</f>
        <v>0</v>
      </c>
      <c r="DZ21" s="259">
        <f t="shared" si="51"/>
        <v>-1.7763568394002505E-14</v>
      </c>
      <c r="EA21" s="258"/>
      <c r="EB21" s="263">
        <f t="shared" si="52"/>
        <v>0</v>
      </c>
      <c r="EC21" s="263">
        <f t="shared" si="8"/>
        <v>0</v>
      </c>
      <c r="ED21" s="639"/>
      <c r="EE21" s="639"/>
      <c r="EF21" s="263">
        <f>'BPA Product '!BA21</f>
        <v>0</v>
      </c>
      <c r="EG21" s="685">
        <f t="shared" si="53"/>
        <v>0</v>
      </c>
      <c r="EH21" s="258"/>
      <c r="EI21" s="263">
        <f t="shared" si="54"/>
        <v>0</v>
      </c>
      <c r="EJ21" s="263">
        <f t="shared" si="9"/>
        <v>0</v>
      </c>
      <c r="EK21" s="639"/>
      <c r="EL21" s="639"/>
      <c r="EM21" s="263">
        <f>'BPA Product '!BB21</f>
        <v>0</v>
      </c>
      <c r="EN21" s="685">
        <f t="shared" si="55"/>
        <v>0</v>
      </c>
      <c r="EO21" s="258"/>
      <c r="EP21" s="685">
        <f t="shared" si="56"/>
        <v>0</v>
      </c>
      <c r="EQ21" s="663">
        <f t="shared" si="10"/>
        <v>0</v>
      </c>
      <c r="ER21" s="664"/>
      <c r="ES21" s="664"/>
      <c r="ET21" s="809">
        <f>'BPA Product '!BC21</f>
        <v>0</v>
      </c>
      <c r="EU21" s="685">
        <f t="shared" si="57"/>
        <v>0</v>
      </c>
      <c r="EV21" s="258"/>
    </row>
    <row r="22" spans="1:152">
      <c r="A22" s="686">
        <f t="shared" si="58"/>
        <v>43816</v>
      </c>
      <c r="B22" s="261">
        <f t="shared" si="11"/>
        <v>0</v>
      </c>
      <c r="C22" s="501">
        <f>'BPA Product '!L22+'BPA Product '!O22-D22</f>
        <v>392.4</v>
      </c>
      <c r="D22" s="267">
        <f t="shared" si="12"/>
        <v>0</v>
      </c>
      <c r="E22" s="812">
        <f t="shared" si="13"/>
        <v>392.4</v>
      </c>
      <c r="F22" s="259">
        <f>'BPA Product '!Q22</f>
        <v>0</v>
      </c>
      <c r="G22" s="259">
        <f>'BPA Product '!R22</f>
        <v>392.4</v>
      </c>
      <c r="H22" s="543">
        <f>'BPA Product '!S22</f>
        <v>0</v>
      </c>
      <c r="I22" s="630">
        <f>'BPA Product '!U22</f>
        <v>0</v>
      </c>
      <c r="J22" s="630">
        <f>'BPA Product '!V22</f>
        <v>0</v>
      </c>
      <c r="K22" s="630">
        <f>'BPA Product '!X22</f>
        <v>0</v>
      </c>
      <c r="L22" s="543">
        <f>'BPA Product '!AG22</f>
        <v>0</v>
      </c>
      <c r="M22" s="543">
        <f>'BPA Product '!AF22</f>
        <v>0</v>
      </c>
      <c r="N22" s="543">
        <f>'BPA Product '!T22</f>
        <v>0</v>
      </c>
      <c r="O22" s="498">
        <f>'BPA Product '!AH22+'BPA Product '!AI22</f>
        <v>0</v>
      </c>
      <c r="P22" s="498"/>
      <c r="Q22" s="259">
        <f t="shared" si="14"/>
        <v>0</v>
      </c>
      <c r="R22" s="360"/>
      <c r="S22" s="498">
        <f t="shared" si="15"/>
        <v>376.89999999999941</v>
      </c>
      <c r="T22" s="498">
        <f t="shared" si="16"/>
        <v>0</v>
      </c>
      <c r="U22" s="508">
        <f>'BPA Product '!BD22+'BPA Product '!BE22</f>
        <v>136.02000000000001</v>
      </c>
      <c r="V22" s="508">
        <f>'BPA Product '!AJ22</f>
        <v>0</v>
      </c>
      <c r="W22" s="498">
        <f t="shared" si="17"/>
        <v>240.8799999999994</v>
      </c>
      <c r="X22" s="507"/>
      <c r="Y22" s="259">
        <f t="shared" si="18"/>
        <v>0</v>
      </c>
      <c r="Z22" s="259">
        <f>'BPA Product '!M22</f>
        <v>0</v>
      </c>
      <c r="AA22" s="260">
        <f>'BPA Product '!Y22</f>
        <v>0</v>
      </c>
      <c r="AB22" s="260">
        <f>'BPA Product '!Z22</f>
        <v>0</v>
      </c>
      <c r="AC22" s="260">
        <f>'BPA Product '!AA22</f>
        <v>0</v>
      </c>
      <c r="AD22" s="259">
        <f t="shared" si="19"/>
        <v>0</v>
      </c>
      <c r="AE22" s="360"/>
      <c r="AF22" s="259">
        <f t="shared" si="20"/>
        <v>0</v>
      </c>
      <c r="AG22" s="259">
        <f>'BPA Product '!N22</f>
        <v>0</v>
      </c>
      <c r="AH22" s="260">
        <f>'BPA Product '!AB22</f>
        <v>0</v>
      </c>
      <c r="AI22" s="260">
        <f>'BPA Product '!AC22</f>
        <v>0</v>
      </c>
      <c r="AJ22" s="260">
        <f>'BPA Product '!AD22</f>
        <v>0</v>
      </c>
      <c r="AK22" s="259">
        <f t="shared" si="21"/>
        <v>0</v>
      </c>
      <c r="AL22" s="258"/>
      <c r="AM22" s="259">
        <f t="shared" si="22"/>
        <v>144</v>
      </c>
      <c r="AN22" s="259">
        <f t="shared" si="23"/>
        <v>0</v>
      </c>
      <c r="AO22" s="633"/>
      <c r="AP22" s="633"/>
      <c r="AQ22" s="259">
        <f>'BPA Product '!AQ22</f>
        <v>0</v>
      </c>
      <c r="AR22" s="259">
        <f t="shared" si="24"/>
        <v>144</v>
      </c>
      <c r="AS22" s="258"/>
      <c r="AT22" s="259">
        <f t="shared" si="25"/>
        <v>2610.0000000000064</v>
      </c>
      <c r="AU22" s="259">
        <f t="shared" si="26"/>
        <v>0</v>
      </c>
      <c r="AV22" s="1363"/>
      <c r="AW22" s="1363"/>
      <c r="AX22" s="259">
        <f>'BPA Product '!AR22</f>
        <v>522</v>
      </c>
      <c r="AY22" s="259">
        <f t="shared" si="27"/>
        <v>2088.0000000000064</v>
      </c>
      <c r="AZ22" s="258"/>
      <c r="BA22" s="260">
        <f t="shared" si="28"/>
        <v>0</v>
      </c>
      <c r="BB22" s="259">
        <f t="shared" si="29"/>
        <v>0</v>
      </c>
      <c r="BC22" s="637"/>
      <c r="BD22" s="636"/>
      <c r="BE22" s="685">
        <f>'BPA Product '!AS22</f>
        <v>0</v>
      </c>
      <c r="BF22" s="259">
        <f t="shared" si="30"/>
        <v>0</v>
      </c>
      <c r="BG22" s="258"/>
      <c r="BH22" s="259">
        <f t="shared" si="31"/>
        <v>-2.9842794901924208E-12</v>
      </c>
      <c r="BI22" s="259">
        <f t="shared" si="0"/>
        <v>0</v>
      </c>
      <c r="BJ22" s="633"/>
      <c r="BK22" s="633"/>
      <c r="BL22" s="259">
        <f>'BPA Product '!AM22</f>
        <v>0</v>
      </c>
      <c r="BM22" s="259">
        <f t="shared" si="32"/>
        <v>-2.9842794901924208E-12</v>
      </c>
      <c r="BN22" s="258"/>
      <c r="BO22" s="259">
        <f t="shared" si="33"/>
        <v>995.40000000000055</v>
      </c>
      <c r="BP22" s="259">
        <f t="shared" si="34"/>
        <v>392.4</v>
      </c>
      <c r="BQ22" s="637"/>
      <c r="BR22" s="636"/>
      <c r="BS22" s="259">
        <f>'BPA Product '!AO22</f>
        <v>0</v>
      </c>
      <c r="BT22" s="259">
        <f t="shared" si="59"/>
        <v>1387.8000000000006</v>
      </c>
      <c r="BU22" s="258"/>
      <c r="BV22" s="1161">
        <f t="shared" si="36"/>
        <v>0</v>
      </c>
      <c r="BW22" s="259">
        <f t="shared" si="1"/>
        <v>0</v>
      </c>
      <c r="BX22" s="637"/>
      <c r="BY22" s="636"/>
      <c r="BZ22" s="685">
        <f>'BPA Product '!AP22</f>
        <v>0</v>
      </c>
      <c r="CA22" s="259">
        <f t="shared" si="2"/>
        <v>0</v>
      </c>
      <c r="CB22" s="258"/>
      <c r="CC22" s="810">
        <f t="shared" si="37"/>
        <v>105</v>
      </c>
      <c r="CD22" s="810">
        <f t="shared" si="38"/>
        <v>0</v>
      </c>
      <c r="CE22" s="811"/>
      <c r="CF22" s="811"/>
      <c r="CG22" s="498">
        <f>'BPA Product '!AN22</f>
        <v>0</v>
      </c>
      <c r="CH22" s="810">
        <f t="shared" si="39"/>
        <v>105</v>
      </c>
      <c r="CI22" s="258"/>
      <c r="CJ22" s="810">
        <f t="shared" si="40"/>
        <v>0</v>
      </c>
      <c r="CK22" s="810">
        <f t="shared" si="3"/>
        <v>0</v>
      </c>
      <c r="CL22" s="811"/>
      <c r="CM22" s="811"/>
      <c r="CN22" s="498">
        <f>'BPA Product '!AS22</f>
        <v>0</v>
      </c>
      <c r="CO22" s="810">
        <f t="shared" si="41"/>
        <v>0</v>
      </c>
      <c r="CP22" s="258"/>
      <c r="CQ22" s="810">
        <f t="shared" si="42"/>
        <v>127.79999999999998</v>
      </c>
      <c r="CR22" s="810">
        <f t="shared" si="4"/>
        <v>0</v>
      </c>
      <c r="CS22" s="811"/>
      <c r="CT22" s="811"/>
      <c r="CU22" s="811"/>
      <c r="CV22" s="498">
        <f>'BPA Product '!AV22</f>
        <v>0</v>
      </c>
      <c r="CW22" s="259">
        <f t="shared" si="43"/>
        <v>127.79999999999998</v>
      </c>
      <c r="CX22" s="258"/>
      <c r="CY22" s="810">
        <f t="shared" si="44"/>
        <v>0</v>
      </c>
      <c r="CZ22" s="810"/>
      <c r="DA22" s="811"/>
      <c r="DB22" s="811"/>
      <c r="DC22" s="811"/>
      <c r="DD22" s="498">
        <f>'BPA Product '!AW22</f>
        <v>0</v>
      </c>
      <c r="DE22" s="259">
        <f t="shared" si="45"/>
        <v>0</v>
      </c>
      <c r="DF22" s="258"/>
      <c r="DG22" s="259">
        <f t="shared" si="46"/>
        <v>0</v>
      </c>
      <c r="DH22" s="260">
        <f t="shared" si="5"/>
        <v>0</v>
      </c>
      <c r="DI22" s="631"/>
      <c r="DJ22" s="639"/>
      <c r="DK22" s="260">
        <f>'BPA Product '!AX22</f>
        <v>0</v>
      </c>
      <c r="DL22" s="259">
        <f t="shared" si="47"/>
        <v>0</v>
      </c>
      <c r="DM22" s="258"/>
      <c r="DN22" s="259">
        <f t="shared" si="48"/>
        <v>66.599999999999994</v>
      </c>
      <c r="DO22" s="260">
        <f t="shared" si="6"/>
        <v>0</v>
      </c>
      <c r="DP22" s="633"/>
      <c r="DQ22" s="1358"/>
      <c r="DR22" s="260">
        <f>'BPA Product '!AY22</f>
        <v>0</v>
      </c>
      <c r="DS22" s="259">
        <f t="shared" si="49"/>
        <v>66.599999999999994</v>
      </c>
      <c r="DT22" s="258"/>
      <c r="DU22" s="259">
        <f t="shared" si="50"/>
        <v>-1.7763568394002505E-14</v>
      </c>
      <c r="DV22" s="260">
        <f t="shared" si="7"/>
        <v>0</v>
      </c>
      <c r="DW22" s="631"/>
      <c r="DX22" s="640"/>
      <c r="DY22" s="260">
        <f>'BPA Product '!AZ22</f>
        <v>0</v>
      </c>
      <c r="DZ22" s="259">
        <f t="shared" si="51"/>
        <v>-1.7763568394002505E-14</v>
      </c>
      <c r="EA22" s="258"/>
      <c r="EB22" s="263">
        <f t="shared" si="52"/>
        <v>0</v>
      </c>
      <c r="EC22" s="263">
        <f t="shared" si="8"/>
        <v>0</v>
      </c>
      <c r="ED22" s="639"/>
      <c r="EE22" s="639"/>
      <c r="EF22" s="263">
        <f>'BPA Product '!BA22</f>
        <v>0</v>
      </c>
      <c r="EG22" s="685">
        <f t="shared" si="53"/>
        <v>0</v>
      </c>
      <c r="EH22" s="258"/>
      <c r="EI22" s="263">
        <f t="shared" si="54"/>
        <v>0</v>
      </c>
      <c r="EJ22" s="263">
        <f t="shared" si="9"/>
        <v>0</v>
      </c>
      <c r="EK22" s="639"/>
      <c r="EL22" s="639"/>
      <c r="EM22" s="263">
        <f>'BPA Product '!BB22</f>
        <v>0</v>
      </c>
      <c r="EN22" s="685">
        <f t="shared" si="55"/>
        <v>0</v>
      </c>
      <c r="EO22" s="258"/>
      <c r="EP22" s="685">
        <f t="shared" si="56"/>
        <v>0</v>
      </c>
      <c r="EQ22" s="663">
        <f t="shared" si="10"/>
        <v>0</v>
      </c>
      <c r="ER22" s="664"/>
      <c r="ES22" s="664"/>
      <c r="ET22" s="809">
        <f>'BPA Product '!BC22</f>
        <v>0</v>
      </c>
      <c r="EU22" s="685">
        <f t="shared" si="57"/>
        <v>0</v>
      </c>
      <c r="EV22" s="258"/>
    </row>
    <row r="23" spans="1:152">
      <c r="A23" s="257">
        <f>A22+1</f>
        <v>43817</v>
      </c>
      <c r="B23" s="261">
        <f t="shared" si="11"/>
        <v>0</v>
      </c>
      <c r="C23" s="501">
        <f>'BPA Product '!L23+'BPA Product '!O23-D23</f>
        <v>639.54</v>
      </c>
      <c r="D23" s="267">
        <f t="shared" si="12"/>
        <v>0</v>
      </c>
      <c r="E23" s="812">
        <f t="shared" si="13"/>
        <v>639.54</v>
      </c>
      <c r="F23" s="259">
        <f>'BPA Product '!Q23</f>
        <v>0</v>
      </c>
      <c r="G23" s="259">
        <f>'BPA Product '!R23</f>
        <v>178.2</v>
      </c>
      <c r="H23" s="543">
        <f>'BPA Product '!S23</f>
        <v>8</v>
      </c>
      <c r="I23" s="630">
        <f>'BPA Product '!U23</f>
        <v>0</v>
      </c>
      <c r="J23" s="630">
        <f>'BPA Product '!V23</f>
        <v>54</v>
      </c>
      <c r="K23" s="630">
        <f>'BPA Product '!X23</f>
        <v>0</v>
      </c>
      <c r="L23" s="543">
        <f>'BPA Product '!AG23</f>
        <v>0</v>
      </c>
      <c r="M23" s="543">
        <f>'BPA Product '!AF23</f>
        <v>9</v>
      </c>
      <c r="N23" s="543">
        <f>'BPA Product '!T23</f>
        <v>30</v>
      </c>
      <c r="O23" s="498">
        <f>'BPA Product '!AH23+'BPA Product '!AI23</f>
        <v>360.34</v>
      </c>
      <c r="P23" s="498"/>
      <c r="Q23" s="259">
        <f t="shared" si="14"/>
        <v>0</v>
      </c>
      <c r="R23" s="360"/>
      <c r="S23" s="498">
        <f t="shared" si="15"/>
        <v>240.8799999999994</v>
      </c>
      <c r="T23" s="498">
        <f t="shared" si="16"/>
        <v>360.34</v>
      </c>
      <c r="U23" s="508">
        <f>'BPA Product '!BD23+'BPA Product '!BE23</f>
        <v>0</v>
      </c>
      <c r="V23" s="508">
        <f>'BPA Product '!AJ23</f>
        <v>0</v>
      </c>
      <c r="W23" s="498">
        <f t="shared" si="17"/>
        <v>601.21999999999935</v>
      </c>
      <c r="X23" s="507"/>
      <c r="Y23" s="259">
        <f t="shared" si="18"/>
        <v>0</v>
      </c>
      <c r="Z23" s="259">
        <f>'BPA Product '!M23</f>
        <v>0</v>
      </c>
      <c r="AA23" s="260">
        <f>'BPA Product '!Y23</f>
        <v>0</v>
      </c>
      <c r="AB23" s="260">
        <f>'BPA Product '!Z23</f>
        <v>0</v>
      </c>
      <c r="AC23" s="260">
        <f>'BPA Product '!AA23</f>
        <v>0</v>
      </c>
      <c r="AD23" s="259">
        <f t="shared" si="19"/>
        <v>0</v>
      </c>
      <c r="AE23" s="360"/>
      <c r="AF23" s="259">
        <f t="shared" si="20"/>
        <v>0</v>
      </c>
      <c r="AG23" s="259">
        <f>'BPA Product '!N23</f>
        <v>0</v>
      </c>
      <c r="AH23" s="260">
        <f>'BPA Product '!AB23</f>
        <v>0</v>
      </c>
      <c r="AI23" s="260">
        <f>'BPA Product '!AC23</f>
        <v>0</v>
      </c>
      <c r="AJ23" s="260">
        <f>'BPA Product '!AD23</f>
        <v>0</v>
      </c>
      <c r="AK23" s="259">
        <f t="shared" si="21"/>
        <v>0</v>
      </c>
      <c r="AL23" s="258"/>
      <c r="AM23" s="259">
        <f t="shared" si="22"/>
        <v>144</v>
      </c>
      <c r="AN23" s="259">
        <f t="shared" si="23"/>
        <v>0</v>
      </c>
      <c r="AO23" s="633"/>
      <c r="AP23" s="633"/>
      <c r="AQ23" s="259">
        <f>'BPA Product '!AQ23</f>
        <v>108</v>
      </c>
      <c r="AR23" s="259">
        <f t="shared" si="24"/>
        <v>36</v>
      </c>
      <c r="AS23" s="258"/>
      <c r="AT23" s="259">
        <f t="shared" si="25"/>
        <v>2088.0000000000064</v>
      </c>
      <c r="AU23" s="259">
        <f t="shared" si="26"/>
        <v>54</v>
      </c>
      <c r="AV23" s="1363"/>
      <c r="AW23" s="1363"/>
      <c r="AX23" s="259">
        <f>'BPA Product '!AR23</f>
        <v>0</v>
      </c>
      <c r="AY23" s="259">
        <f t="shared" si="27"/>
        <v>2142.0000000000064</v>
      </c>
      <c r="AZ23" s="258"/>
      <c r="BA23" s="260">
        <f t="shared" si="28"/>
        <v>0</v>
      </c>
      <c r="BB23" s="259">
        <f t="shared" si="29"/>
        <v>0</v>
      </c>
      <c r="BC23" s="637"/>
      <c r="BD23" s="636"/>
      <c r="BE23" s="685">
        <f>'BPA Product '!AS23</f>
        <v>0</v>
      </c>
      <c r="BF23" s="259">
        <f t="shared" si="30"/>
        <v>0</v>
      </c>
      <c r="BG23" s="258"/>
      <c r="BH23" s="259">
        <f t="shared" si="31"/>
        <v>-2.9842794901924208E-12</v>
      </c>
      <c r="BI23" s="259">
        <f t="shared" si="0"/>
        <v>0</v>
      </c>
      <c r="BJ23" s="633"/>
      <c r="BK23" s="633"/>
      <c r="BL23" s="259">
        <f>'BPA Product '!AM23</f>
        <v>0</v>
      </c>
      <c r="BM23" s="259">
        <f t="shared" si="32"/>
        <v>-2.9842794901924208E-12</v>
      </c>
      <c r="BN23" s="258"/>
      <c r="BO23" s="259">
        <f t="shared" si="33"/>
        <v>1387.8000000000006</v>
      </c>
      <c r="BP23" s="259">
        <f t="shared" si="34"/>
        <v>178.2</v>
      </c>
      <c r="BQ23" s="637"/>
      <c r="BR23" s="636"/>
      <c r="BS23" s="259">
        <f>'BPA Product '!AO23</f>
        <v>0</v>
      </c>
      <c r="BT23" s="259">
        <f t="shared" si="59"/>
        <v>1566.0000000000007</v>
      </c>
      <c r="BU23" s="258"/>
      <c r="BV23" s="1161">
        <f t="shared" si="36"/>
        <v>0</v>
      </c>
      <c r="BW23" s="259">
        <f t="shared" si="1"/>
        <v>8</v>
      </c>
      <c r="BX23" s="637"/>
      <c r="BY23" s="636"/>
      <c r="BZ23" s="685">
        <f>'BPA Product '!AP23</f>
        <v>0</v>
      </c>
      <c r="CA23" s="259">
        <f t="shared" si="2"/>
        <v>8</v>
      </c>
      <c r="CB23" s="258"/>
      <c r="CC23" s="810">
        <f t="shared" si="37"/>
        <v>105</v>
      </c>
      <c r="CD23" s="810">
        <f t="shared" si="38"/>
        <v>30</v>
      </c>
      <c r="CE23" s="811"/>
      <c r="CF23" s="811"/>
      <c r="CG23" s="498">
        <f>'BPA Product '!AN23</f>
        <v>60</v>
      </c>
      <c r="CH23" s="810">
        <f t="shared" si="39"/>
        <v>75</v>
      </c>
      <c r="CI23" s="258"/>
      <c r="CJ23" s="810">
        <f t="shared" si="40"/>
        <v>0</v>
      </c>
      <c r="CK23" s="810">
        <f t="shared" si="3"/>
        <v>0</v>
      </c>
      <c r="CL23" s="811"/>
      <c r="CM23" s="811"/>
      <c r="CN23" s="498">
        <f>'BPA Product '!AS23</f>
        <v>0</v>
      </c>
      <c r="CO23" s="810">
        <f t="shared" si="41"/>
        <v>0</v>
      </c>
      <c r="CP23" s="258"/>
      <c r="CQ23" s="810">
        <f t="shared" si="42"/>
        <v>127.79999999999998</v>
      </c>
      <c r="CR23" s="810">
        <f t="shared" si="4"/>
        <v>9</v>
      </c>
      <c r="CS23" s="811"/>
      <c r="CT23" s="811"/>
      <c r="CU23" s="811"/>
      <c r="CV23" s="498">
        <f>'BPA Product '!AV23</f>
        <v>0</v>
      </c>
      <c r="CW23" s="259">
        <f t="shared" si="43"/>
        <v>136.79999999999998</v>
      </c>
      <c r="CX23" s="258"/>
      <c r="CY23" s="810">
        <f t="shared" si="44"/>
        <v>0</v>
      </c>
      <c r="CZ23" s="810"/>
      <c r="DA23" s="811"/>
      <c r="DB23" s="811"/>
      <c r="DC23" s="811"/>
      <c r="DD23" s="498">
        <f>'BPA Product '!AW23</f>
        <v>0</v>
      </c>
      <c r="DE23" s="259">
        <f t="shared" si="45"/>
        <v>0</v>
      </c>
      <c r="DF23" s="258"/>
      <c r="DG23" s="259">
        <f t="shared" si="46"/>
        <v>0</v>
      </c>
      <c r="DH23" s="260">
        <f t="shared" si="5"/>
        <v>0</v>
      </c>
      <c r="DI23" s="631"/>
      <c r="DJ23" s="639"/>
      <c r="DK23" s="260">
        <f>'BPA Product '!AX23</f>
        <v>0</v>
      </c>
      <c r="DL23" s="259">
        <f t="shared" si="47"/>
        <v>0</v>
      </c>
      <c r="DM23" s="258"/>
      <c r="DN23" s="259">
        <f t="shared" si="48"/>
        <v>66.599999999999994</v>
      </c>
      <c r="DO23" s="260">
        <f t="shared" si="6"/>
        <v>0</v>
      </c>
      <c r="DP23" s="633"/>
      <c r="DQ23" s="1358"/>
      <c r="DR23" s="260">
        <f>'BPA Product '!AY23</f>
        <v>0</v>
      </c>
      <c r="DS23" s="259">
        <f t="shared" si="49"/>
        <v>66.599999999999994</v>
      </c>
      <c r="DT23" s="258"/>
      <c r="DU23" s="259">
        <f t="shared" si="50"/>
        <v>-1.7763568394002505E-14</v>
      </c>
      <c r="DV23" s="260">
        <f t="shared" si="7"/>
        <v>0</v>
      </c>
      <c r="DW23" s="631"/>
      <c r="DX23" s="638"/>
      <c r="DY23" s="260">
        <f>'BPA Product '!AZ23</f>
        <v>0</v>
      </c>
      <c r="DZ23" s="259">
        <f t="shared" si="51"/>
        <v>-1.7763568394002505E-14</v>
      </c>
      <c r="EA23" s="258"/>
      <c r="EB23" s="263">
        <f t="shared" si="52"/>
        <v>0</v>
      </c>
      <c r="EC23" s="263">
        <f t="shared" si="8"/>
        <v>0</v>
      </c>
      <c r="ED23" s="639"/>
      <c r="EE23" s="639"/>
      <c r="EF23" s="263">
        <f>'BPA Product '!BA23</f>
        <v>0</v>
      </c>
      <c r="EG23" s="685">
        <f t="shared" si="53"/>
        <v>0</v>
      </c>
      <c r="EH23" s="258"/>
      <c r="EI23" s="263">
        <f t="shared" si="54"/>
        <v>0</v>
      </c>
      <c r="EJ23" s="263">
        <f t="shared" si="9"/>
        <v>0</v>
      </c>
      <c r="EK23" s="639"/>
      <c r="EL23" s="639"/>
      <c r="EM23" s="263">
        <f>'BPA Product '!BB23</f>
        <v>0</v>
      </c>
      <c r="EN23" s="685">
        <f t="shared" si="55"/>
        <v>0</v>
      </c>
      <c r="EO23" s="258"/>
      <c r="EP23" s="685">
        <f t="shared" si="56"/>
        <v>0</v>
      </c>
      <c r="EQ23" s="663">
        <f t="shared" si="10"/>
        <v>0</v>
      </c>
      <c r="ER23" s="664"/>
      <c r="ES23" s="664"/>
      <c r="ET23" s="809">
        <f>'BPA Product '!BC23</f>
        <v>0</v>
      </c>
      <c r="EU23" s="685">
        <f t="shared" si="57"/>
        <v>0</v>
      </c>
      <c r="EV23" s="258"/>
    </row>
    <row r="24" spans="1:152">
      <c r="A24" s="257">
        <f t="shared" si="58"/>
        <v>43818</v>
      </c>
      <c r="B24" s="261">
        <f t="shared" si="11"/>
        <v>0</v>
      </c>
      <c r="C24" s="501">
        <f>'BPA Product '!L24+'BPA Product '!O24-D24</f>
        <v>514.54</v>
      </c>
      <c r="D24" s="267">
        <f t="shared" si="12"/>
        <v>0</v>
      </c>
      <c r="E24" s="812">
        <f t="shared" si="13"/>
        <v>514.54</v>
      </c>
      <c r="F24" s="259">
        <f>'BPA Product '!Q24</f>
        <v>0</v>
      </c>
      <c r="G24" s="259">
        <f>'BPA Product '!R24</f>
        <v>0</v>
      </c>
      <c r="H24" s="543">
        <f>'BPA Product '!S24</f>
        <v>0</v>
      </c>
      <c r="I24" s="630">
        <f>'BPA Product '!U24</f>
        <v>0</v>
      </c>
      <c r="J24" s="630">
        <f>'BPA Product '!V24</f>
        <v>93.599999999999966</v>
      </c>
      <c r="K24" s="630">
        <f>'BPA Product '!X24</f>
        <v>0</v>
      </c>
      <c r="L24" s="543">
        <f>'BPA Product '!AG24</f>
        <v>0</v>
      </c>
      <c r="M24" s="543">
        <f>'BPA Product '!AF24</f>
        <v>0</v>
      </c>
      <c r="N24" s="543">
        <f>'BPA Product '!T24</f>
        <v>0</v>
      </c>
      <c r="O24" s="498">
        <f>'BPA Product '!AH24+'BPA Product '!AI24</f>
        <v>420.94</v>
      </c>
      <c r="P24" s="498"/>
      <c r="Q24" s="259">
        <f t="shared" si="14"/>
        <v>0</v>
      </c>
      <c r="R24" s="360"/>
      <c r="S24" s="498">
        <f t="shared" si="15"/>
        <v>601.21999999999935</v>
      </c>
      <c r="T24" s="498">
        <f t="shared" si="16"/>
        <v>420.94</v>
      </c>
      <c r="U24" s="508">
        <f>'BPA Product '!BD24+'BPA Product '!BE24</f>
        <v>120.3</v>
      </c>
      <c r="V24" s="508">
        <f>'BPA Product '!AJ24</f>
        <v>0</v>
      </c>
      <c r="W24" s="498">
        <f t="shared" si="17"/>
        <v>901.85999999999945</v>
      </c>
      <c r="X24" s="507"/>
      <c r="Y24" s="259">
        <f t="shared" si="18"/>
        <v>0</v>
      </c>
      <c r="Z24" s="259">
        <f>'BPA Product '!M24</f>
        <v>0</v>
      </c>
      <c r="AA24" s="260">
        <f>'BPA Product '!Y24</f>
        <v>0</v>
      </c>
      <c r="AB24" s="260">
        <f>'BPA Product '!Z24</f>
        <v>0</v>
      </c>
      <c r="AC24" s="260">
        <f>'BPA Product '!AA24</f>
        <v>0</v>
      </c>
      <c r="AD24" s="259">
        <f t="shared" si="19"/>
        <v>0</v>
      </c>
      <c r="AE24" s="360"/>
      <c r="AF24" s="259">
        <f t="shared" si="20"/>
        <v>0</v>
      </c>
      <c r="AG24" s="259">
        <f>'BPA Product '!N24</f>
        <v>0</v>
      </c>
      <c r="AH24" s="260">
        <f>'BPA Product '!AB24</f>
        <v>0</v>
      </c>
      <c r="AI24" s="260">
        <f>'BPA Product '!AC24</f>
        <v>0</v>
      </c>
      <c r="AJ24" s="260">
        <f>'BPA Product '!AD24</f>
        <v>0</v>
      </c>
      <c r="AK24" s="259">
        <f t="shared" si="21"/>
        <v>0</v>
      </c>
      <c r="AL24" s="258"/>
      <c r="AM24" s="259">
        <f t="shared" si="22"/>
        <v>36</v>
      </c>
      <c r="AN24" s="259">
        <f t="shared" si="23"/>
        <v>0</v>
      </c>
      <c r="AO24" s="633"/>
      <c r="AP24" s="633"/>
      <c r="AQ24" s="259">
        <f>'BPA Product '!AQ24</f>
        <v>0</v>
      </c>
      <c r="AR24" s="259">
        <f t="shared" si="24"/>
        <v>36</v>
      </c>
      <c r="AS24" s="258"/>
      <c r="AT24" s="259">
        <f t="shared" si="25"/>
        <v>2142.0000000000064</v>
      </c>
      <c r="AU24" s="259">
        <f t="shared" si="26"/>
        <v>93.599999999999966</v>
      </c>
      <c r="AV24" s="1363"/>
      <c r="AW24" s="1363"/>
      <c r="AX24" s="259">
        <f>'BPA Product '!AR24</f>
        <v>522</v>
      </c>
      <c r="AY24" s="259">
        <f t="shared" si="27"/>
        <v>1713.6000000000063</v>
      </c>
      <c r="AZ24" s="258"/>
      <c r="BA24" s="260">
        <f t="shared" si="28"/>
        <v>0</v>
      </c>
      <c r="BB24" s="259">
        <f t="shared" si="29"/>
        <v>0</v>
      </c>
      <c r="BC24" s="637"/>
      <c r="BD24" s="636"/>
      <c r="BE24" s="685">
        <f>'BPA Product '!AS24</f>
        <v>0</v>
      </c>
      <c r="BF24" s="259">
        <f t="shared" si="30"/>
        <v>0</v>
      </c>
      <c r="BG24" s="258"/>
      <c r="BH24" s="259">
        <f t="shared" si="31"/>
        <v>-2.9842794901924208E-12</v>
      </c>
      <c r="BI24" s="259">
        <f t="shared" si="0"/>
        <v>0</v>
      </c>
      <c r="BJ24" s="633"/>
      <c r="BK24" s="633"/>
      <c r="BL24" s="259">
        <f>'BPA Product '!AM24</f>
        <v>0</v>
      </c>
      <c r="BM24" s="259">
        <f t="shared" si="32"/>
        <v>-2.9842794901924208E-12</v>
      </c>
      <c r="BN24" s="258"/>
      <c r="BO24" s="259">
        <f t="shared" si="33"/>
        <v>1566.0000000000007</v>
      </c>
      <c r="BP24" s="259">
        <f t="shared" si="34"/>
        <v>0</v>
      </c>
      <c r="BQ24" s="637"/>
      <c r="BR24" s="636"/>
      <c r="BS24" s="259">
        <f>'BPA Product '!AO24</f>
        <v>522</v>
      </c>
      <c r="BT24" s="259">
        <f t="shared" si="59"/>
        <v>1044.0000000000007</v>
      </c>
      <c r="BU24" s="258"/>
      <c r="BV24" s="1161">
        <f t="shared" si="36"/>
        <v>8</v>
      </c>
      <c r="BW24" s="259">
        <f t="shared" si="1"/>
        <v>0</v>
      </c>
      <c r="BX24" s="637"/>
      <c r="BY24" s="636"/>
      <c r="BZ24" s="685">
        <f>'BPA Product '!AP24</f>
        <v>0</v>
      </c>
      <c r="CA24" s="259">
        <f t="shared" si="2"/>
        <v>8</v>
      </c>
      <c r="CB24" s="258"/>
      <c r="CC24" s="810">
        <f t="shared" si="37"/>
        <v>75</v>
      </c>
      <c r="CD24" s="810">
        <f t="shared" si="38"/>
        <v>0</v>
      </c>
      <c r="CE24" s="811"/>
      <c r="CF24" s="811"/>
      <c r="CG24" s="498">
        <f>'BPA Product '!AN24</f>
        <v>0</v>
      </c>
      <c r="CH24" s="810">
        <f t="shared" si="39"/>
        <v>75</v>
      </c>
      <c r="CI24" s="258"/>
      <c r="CJ24" s="810">
        <f t="shared" si="40"/>
        <v>0</v>
      </c>
      <c r="CK24" s="810">
        <f t="shared" si="3"/>
        <v>0</v>
      </c>
      <c r="CL24" s="811"/>
      <c r="CM24" s="811"/>
      <c r="CN24" s="498">
        <f>'BPA Product '!AS24</f>
        <v>0</v>
      </c>
      <c r="CO24" s="810">
        <f t="shared" si="41"/>
        <v>0</v>
      </c>
      <c r="CP24" s="258"/>
      <c r="CQ24" s="810">
        <f t="shared" si="42"/>
        <v>136.79999999999998</v>
      </c>
      <c r="CR24" s="810">
        <f t="shared" si="4"/>
        <v>0</v>
      </c>
      <c r="CS24" s="811"/>
      <c r="CT24" s="811"/>
      <c r="CU24" s="811"/>
      <c r="CV24" s="498">
        <f>'BPA Product '!AV24</f>
        <v>0</v>
      </c>
      <c r="CW24" s="259">
        <f t="shared" si="43"/>
        <v>136.79999999999998</v>
      </c>
      <c r="CX24" s="258"/>
      <c r="CY24" s="810">
        <f t="shared" si="44"/>
        <v>0</v>
      </c>
      <c r="CZ24" s="810"/>
      <c r="DA24" s="811"/>
      <c r="DB24" s="811"/>
      <c r="DC24" s="811"/>
      <c r="DD24" s="498">
        <f>'BPA Product '!AW24</f>
        <v>0</v>
      </c>
      <c r="DE24" s="259">
        <f t="shared" si="45"/>
        <v>0</v>
      </c>
      <c r="DF24" s="258"/>
      <c r="DG24" s="259">
        <f t="shared" si="46"/>
        <v>0</v>
      </c>
      <c r="DH24" s="260">
        <f t="shared" si="5"/>
        <v>0</v>
      </c>
      <c r="DI24" s="631"/>
      <c r="DJ24" s="639"/>
      <c r="DK24" s="260">
        <f>'BPA Product '!AX24</f>
        <v>0</v>
      </c>
      <c r="DL24" s="259">
        <f t="shared" si="47"/>
        <v>0</v>
      </c>
      <c r="DM24" s="258"/>
      <c r="DN24" s="259">
        <f t="shared" si="48"/>
        <v>66.599999999999994</v>
      </c>
      <c r="DO24" s="260">
        <f t="shared" si="6"/>
        <v>0</v>
      </c>
      <c r="DP24" s="633"/>
      <c r="DQ24" s="1358"/>
      <c r="DR24" s="260">
        <f>'BPA Product '!AY24</f>
        <v>0</v>
      </c>
      <c r="DS24" s="259">
        <f t="shared" si="49"/>
        <v>66.599999999999994</v>
      </c>
      <c r="DT24" s="258"/>
      <c r="DU24" s="259">
        <f t="shared" si="50"/>
        <v>-1.7763568394002505E-14</v>
      </c>
      <c r="DV24" s="260">
        <f t="shared" si="7"/>
        <v>0</v>
      </c>
      <c r="DW24" s="631"/>
      <c r="DX24" s="639"/>
      <c r="DY24" s="260">
        <f>'BPA Product '!AZ24</f>
        <v>0</v>
      </c>
      <c r="DZ24" s="259">
        <f t="shared" si="51"/>
        <v>-1.7763568394002505E-14</v>
      </c>
      <c r="EA24" s="258"/>
      <c r="EB24" s="263">
        <f t="shared" si="52"/>
        <v>0</v>
      </c>
      <c r="EC24" s="263">
        <f t="shared" si="8"/>
        <v>0</v>
      </c>
      <c r="ED24" s="639"/>
      <c r="EE24" s="639"/>
      <c r="EF24" s="263">
        <f>'BPA Product '!BA24</f>
        <v>0</v>
      </c>
      <c r="EG24" s="685">
        <f t="shared" si="53"/>
        <v>0</v>
      </c>
      <c r="EH24" s="258"/>
      <c r="EI24" s="263">
        <f t="shared" si="54"/>
        <v>0</v>
      </c>
      <c r="EJ24" s="263">
        <f t="shared" si="9"/>
        <v>0</v>
      </c>
      <c r="EK24" s="639"/>
      <c r="EL24" s="639"/>
      <c r="EM24" s="263">
        <f>'BPA Product '!BB24</f>
        <v>0</v>
      </c>
      <c r="EN24" s="685">
        <f t="shared" si="55"/>
        <v>0</v>
      </c>
      <c r="EO24" s="258"/>
      <c r="EP24" s="685">
        <f t="shared" si="56"/>
        <v>0</v>
      </c>
      <c r="EQ24" s="663">
        <f t="shared" si="10"/>
        <v>0</v>
      </c>
      <c r="ER24" s="664"/>
      <c r="ES24" s="664"/>
      <c r="ET24" s="809">
        <f>'BPA Product '!BC24</f>
        <v>0</v>
      </c>
      <c r="EU24" s="685">
        <f t="shared" si="57"/>
        <v>0</v>
      </c>
      <c r="EV24" s="258"/>
    </row>
    <row r="25" spans="1:152">
      <c r="A25" s="257">
        <f t="shared" si="58"/>
        <v>43819</v>
      </c>
      <c r="B25" s="261">
        <f t="shared" si="11"/>
        <v>0</v>
      </c>
      <c r="C25" s="501">
        <f>'BPA Product '!L25+'BPA Product '!O25-D25</f>
        <v>36</v>
      </c>
      <c r="D25" s="267">
        <f t="shared" si="12"/>
        <v>0</v>
      </c>
      <c r="E25" s="812">
        <f t="shared" si="13"/>
        <v>36</v>
      </c>
      <c r="F25" s="259">
        <f>'BPA Product '!Q25</f>
        <v>0</v>
      </c>
      <c r="G25" s="259">
        <f>'BPA Product '!R25</f>
        <v>36</v>
      </c>
      <c r="H25" s="543">
        <f>'BPA Product '!S25</f>
        <v>0</v>
      </c>
      <c r="I25" s="630">
        <f>'BPA Product '!U25</f>
        <v>0</v>
      </c>
      <c r="J25" s="630">
        <f>'BPA Product '!V25</f>
        <v>0</v>
      </c>
      <c r="K25" s="630">
        <f>'BPA Product '!X25</f>
        <v>0</v>
      </c>
      <c r="L25" s="543">
        <f>'BPA Product '!AG25</f>
        <v>0</v>
      </c>
      <c r="M25" s="543">
        <f>'BPA Product '!AF25</f>
        <v>0</v>
      </c>
      <c r="N25" s="543">
        <f>'BPA Product '!T25</f>
        <v>0</v>
      </c>
      <c r="O25" s="498">
        <f>'BPA Product '!AH25+'BPA Product '!AI25</f>
        <v>0</v>
      </c>
      <c r="P25" s="498"/>
      <c r="Q25" s="259">
        <f t="shared" si="14"/>
        <v>0</v>
      </c>
      <c r="R25" s="360"/>
      <c r="S25" s="498">
        <f t="shared" si="15"/>
        <v>901.85999999999945</v>
      </c>
      <c r="T25" s="498">
        <f t="shared" si="16"/>
        <v>0</v>
      </c>
      <c r="U25" s="508">
        <f>'BPA Product '!BD25+'BPA Product '!BE25</f>
        <v>75.14</v>
      </c>
      <c r="V25" s="508">
        <f>'BPA Product '!AJ25</f>
        <v>0</v>
      </c>
      <c r="W25" s="498">
        <f t="shared" si="17"/>
        <v>826.71999999999946</v>
      </c>
      <c r="X25" s="507"/>
      <c r="Y25" s="259">
        <f t="shared" si="18"/>
        <v>0</v>
      </c>
      <c r="Z25" s="259">
        <f>'BPA Product '!M25</f>
        <v>0</v>
      </c>
      <c r="AA25" s="260">
        <f>'BPA Product '!Y25</f>
        <v>0</v>
      </c>
      <c r="AB25" s="260">
        <f>'BPA Product '!Z25</f>
        <v>0</v>
      </c>
      <c r="AC25" s="260">
        <f>'BPA Product '!AA25</f>
        <v>0</v>
      </c>
      <c r="AD25" s="259">
        <f t="shared" si="19"/>
        <v>0</v>
      </c>
      <c r="AE25" s="360"/>
      <c r="AF25" s="259">
        <f t="shared" si="20"/>
        <v>0</v>
      </c>
      <c r="AG25" s="259">
        <f>'BPA Product '!N25</f>
        <v>0</v>
      </c>
      <c r="AH25" s="260">
        <f>'BPA Product '!AB25</f>
        <v>0</v>
      </c>
      <c r="AI25" s="260">
        <f>'BPA Product '!AC25</f>
        <v>0</v>
      </c>
      <c r="AJ25" s="260">
        <f>'BPA Product '!AD25</f>
        <v>0</v>
      </c>
      <c r="AK25" s="259">
        <f t="shared" si="21"/>
        <v>0</v>
      </c>
      <c r="AL25" s="258"/>
      <c r="AM25" s="259">
        <f t="shared" si="22"/>
        <v>36</v>
      </c>
      <c r="AN25" s="259">
        <f t="shared" si="23"/>
        <v>0</v>
      </c>
      <c r="AO25" s="633"/>
      <c r="AP25" s="634"/>
      <c r="AQ25" s="259">
        <f>'BPA Product '!AQ25</f>
        <v>0</v>
      </c>
      <c r="AR25" s="259">
        <f t="shared" si="24"/>
        <v>36</v>
      </c>
      <c r="AS25" s="258"/>
      <c r="AT25" s="259">
        <f t="shared" si="25"/>
        <v>1713.6000000000063</v>
      </c>
      <c r="AU25" s="259">
        <f t="shared" si="26"/>
        <v>0</v>
      </c>
      <c r="AV25" s="1363"/>
      <c r="AW25" s="1364"/>
      <c r="AX25" s="259">
        <f>'BPA Product '!AR25</f>
        <v>522</v>
      </c>
      <c r="AY25" s="259">
        <f t="shared" si="27"/>
        <v>1191.6000000000063</v>
      </c>
      <c r="AZ25" s="258"/>
      <c r="BA25" s="260">
        <f t="shared" si="28"/>
        <v>0</v>
      </c>
      <c r="BB25" s="259">
        <f t="shared" si="29"/>
        <v>0</v>
      </c>
      <c r="BC25" s="637"/>
      <c r="BD25" s="636"/>
      <c r="BE25" s="685">
        <f>'BPA Product '!AS25</f>
        <v>0</v>
      </c>
      <c r="BF25" s="259">
        <f t="shared" si="30"/>
        <v>0</v>
      </c>
      <c r="BG25" s="258"/>
      <c r="BH25" s="259">
        <f t="shared" si="31"/>
        <v>-2.9842794901924208E-12</v>
      </c>
      <c r="BI25" s="259">
        <f t="shared" si="0"/>
        <v>0</v>
      </c>
      <c r="BJ25" s="633"/>
      <c r="BK25" s="634"/>
      <c r="BL25" s="259">
        <f>'BPA Product '!AM25</f>
        <v>0</v>
      </c>
      <c r="BM25" s="259">
        <f t="shared" si="32"/>
        <v>-2.9842794901924208E-12</v>
      </c>
      <c r="BN25" s="258"/>
      <c r="BO25" s="259">
        <f t="shared" si="33"/>
        <v>1044.0000000000007</v>
      </c>
      <c r="BP25" s="259">
        <f t="shared" si="34"/>
        <v>36</v>
      </c>
      <c r="BQ25" s="637"/>
      <c r="BR25" s="636"/>
      <c r="BS25" s="259">
        <f>'BPA Product '!AO25</f>
        <v>0</v>
      </c>
      <c r="BT25" s="259">
        <f t="shared" si="59"/>
        <v>1080.0000000000007</v>
      </c>
      <c r="BU25" s="258"/>
      <c r="BV25" s="1161">
        <f t="shared" si="36"/>
        <v>8</v>
      </c>
      <c r="BW25" s="259">
        <f t="shared" si="1"/>
        <v>0</v>
      </c>
      <c r="BX25" s="637"/>
      <c r="BY25" s="636"/>
      <c r="BZ25" s="685">
        <f>'BPA Product '!AP25</f>
        <v>0</v>
      </c>
      <c r="CA25" s="259">
        <f t="shared" si="2"/>
        <v>8</v>
      </c>
      <c r="CB25" s="258"/>
      <c r="CC25" s="810">
        <f t="shared" si="37"/>
        <v>75</v>
      </c>
      <c r="CD25" s="810">
        <f t="shared" si="38"/>
        <v>0</v>
      </c>
      <c r="CE25" s="811"/>
      <c r="CF25" s="811"/>
      <c r="CG25" s="498">
        <f>'BPA Product '!AN25</f>
        <v>0</v>
      </c>
      <c r="CH25" s="810">
        <f t="shared" si="39"/>
        <v>75</v>
      </c>
      <c r="CI25" s="258"/>
      <c r="CJ25" s="810">
        <f t="shared" si="40"/>
        <v>0</v>
      </c>
      <c r="CK25" s="810">
        <f t="shared" si="3"/>
        <v>0</v>
      </c>
      <c r="CL25" s="811"/>
      <c r="CM25" s="811"/>
      <c r="CN25" s="498">
        <f>'BPA Product '!AS25</f>
        <v>0</v>
      </c>
      <c r="CO25" s="810">
        <f t="shared" si="41"/>
        <v>0</v>
      </c>
      <c r="CP25" s="258"/>
      <c r="CQ25" s="810">
        <f t="shared" si="42"/>
        <v>136.79999999999998</v>
      </c>
      <c r="CR25" s="810">
        <f t="shared" si="4"/>
        <v>0</v>
      </c>
      <c r="CS25" s="811"/>
      <c r="CT25" s="811"/>
      <c r="CU25" s="811"/>
      <c r="CV25" s="498">
        <f>'BPA Product '!AV25</f>
        <v>0</v>
      </c>
      <c r="CW25" s="259">
        <f t="shared" si="43"/>
        <v>136.79999999999998</v>
      </c>
      <c r="CX25" s="258"/>
      <c r="CY25" s="810">
        <f t="shared" si="44"/>
        <v>0</v>
      </c>
      <c r="CZ25" s="810"/>
      <c r="DA25" s="811"/>
      <c r="DB25" s="811"/>
      <c r="DC25" s="811"/>
      <c r="DD25" s="498">
        <f>'BPA Product '!AW25</f>
        <v>0</v>
      </c>
      <c r="DE25" s="259">
        <f t="shared" si="45"/>
        <v>0</v>
      </c>
      <c r="DF25" s="258"/>
      <c r="DG25" s="259">
        <f t="shared" si="46"/>
        <v>0</v>
      </c>
      <c r="DH25" s="260">
        <f t="shared" si="5"/>
        <v>0</v>
      </c>
      <c r="DI25" s="631"/>
      <c r="DJ25" s="639"/>
      <c r="DK25" s="260">
        <f>'BPA Product '!AX25</f>
        <v>0</v>
      </c>
      <c r="DL25" s="259">
        <f t="shared" si="47"/>
        <v>0</v>
      </c>
      <c r="DM25" s="258"/>
      <c r="DN25" s="259">
        <f t="shared" si="48"/>
        <v>66.599999999999994</v>
      </c>
      <c r="DO25" s="260">
        <f t="shared" si="6"/>
        <v>0</v>
      </c>
      <c r="DP25" s="633"/>
      <c r="DQ25" s="1358"/>
      <c r="DR25" s="260">
        <f>'BPA Product '!AY25</f>
        <v>0</v>
      </c>
      <c r="DS25" s="259">
        <f t="shared" si="49"/>
        <v>66.599999999999994</v>
      </c>
      <c r="DT25" s="258"/>
      <c r="DU25" s="259">
        <f t="shared" si="50"/>
        <v>-1.7763568394002505E-14</v>
      </c>
      <c r="DV25" s="260">
        <f t="shared" si="7"/>
        <v>0</v>
      </c>
      <c r="DW25" s="631"/>
      <c r="DX25" s="639"/>
      <c r="DY25" s="260">
        <f>'BPA Product '!AZ25</f>
        <v>0</v>
      </c>
      <c r="DZ25" s="259">
        <f t="shared" si="51"/>
        <v>-1.7763568394002505E-14</v>
      </c>
      <c r="EA25" s="258"/>
      <c r="EB25" s="263">
        <f t="shared" si="52"/>
        <v>0</v>
      </c>
      <c r="EC25" s="263">
        <f t="shared" si="8"/>
        <v>0</v>
      </c>
      <c r="ED25" s="639"/>
      <c r="EE25" s="639"/>
      <c r="EF25" s="263">
        <f>'BPA Product '!BA25</f>
        <v>0</v>
      </c>
      <c r="EG25" s="685">
        <f t="shared" si="53"/>
        <v>0</v>
      </c>
      <c r="EH25" s="258"/>
      <c r="EI25" s="263">
        <f t="shared" si="54"/>
        <v>0</v>
      </c>
      <c r="EJ25" s="263">
        <f t="shared" si="9"/>
        <v>0</v>
      </c>
      <c r="EK25" s="639"/>
      <c r="EL25" s="639"/>
      <c r="EM25" s="263">
        <f>'BPA Product '!BB25</f>
        <v>0</v>
      </c>
      <c r="EN25" s="685">
        <f t="shared" si="55"/>
        <v>0</v>
      </c>
      <c r="EO25" s="258"/>
      <c r="EP25" s="685">
        <f t="shared" si="56"/>
        <v>0</v>
      </c>
      <c r="EQ25" s="663">
        <f t="shared" si="10"/>
        <v>0</v>
      </c>
      <c r="ER25" s="664"/>
      <c r="ES25" s="664"/>
      <c r="ET25" s="809">
        <f>'BPA Product '!BC25</f>
        <v>0</v>
      </c>
      <c r="EU25" s="685">
        <f t="shared" si="57"/>
        <v>0</v>
      </c>
      <c r="EV25" s="258"/>
    </row>
    <row r="26" spans="1:152">
      <c r="A26" s="257">
        <f t="shared" si="58"/>
        <v>43820</v>
      </c>
      <c r="B26" s="261">
        <f t="shared" si="11"/>
        <v>0</v>
      </c>
      <c r="C26" s="501">
        <f>'BPA Product '!L26+'BPA Product '!O26-D26</f>
        <v>486</v>
      </c>
      <c r="D26" s="267">
        <f t="shared" si="12"/>
        <v>0</v>
      </c>
      <c r="E26" s="812">
        <f t="shared" si="13"/>
        <v>486</v>
      </c>
      <c r="F26" s="259">
        <f>'BPA Product '!Q26</f>
        <v>0</v>
      </c>
      <c r="G26" s="259">
        <f>'BPA Product '!R26</f>
        <v>486</v>
      </c>
      <c r="H26" s="543">
        <f>'BPA Product '!S26</f>
        <v>0</v>
      </c>
      <c r="I26" s="630">
        <f>'BPA Product '!U26</f>
        <v>0</v>
      </c>
      <c r="J26" s="630">
        <f>'BPA Product '!V26</f>
        <v>0</v>
      </c>
      <c r="K26" s="630">
        <f>'BPA Product '!X26</f>
        <v>0</v>
      </c>
      <c r="L26" s="543">
        <f>'BPA Product '!AG26</f>
        <v>0</v>
      </c>
      <c r="M26" s="543">
        <f>'BPA Product '!AF26</f>
        <v>0</v>
      </c>
      <c r="N26" s="543">
        <f>'BPA Product '!T26</f>
        <v>0</v>
      </c>
      <c r="O26" s="498">
        <f>'BPA Product '!AH26+'BPA Product '!AI26</f>
        <v>0</v>
      </c>
      <c r="P26" s="498"/>
      <c r="Q26" s="259">
        <f t="shared" si="14"/>
        <v>0</v>
      </c>
      <c r="R26" s="360"/>
      <c r="S26" s="498">
        <f t="shared" si="15"/>
        <v>826.71999999999946</v>
      </c>
      <c r="T26" s="498">
        <f t="shared" si="16"/>
        <v>0</v>
      </c>
      <c r="U26" s="508">
        <f>'BPA Product '!BD26+'BPA Product '!BE26</f>
        <v>74.94</v>
      </c>
      <c r="V26" s="508">
        <f>'BPA Product '!AJ26</f>
        <v>0</v>
      </c>
      <c r="W26" s="498">
        <f t="shared" si="17"/>
        <v>751.77999999999952</v>
      </c>
      <c r="X26" s="507"/>
      <c r="Y26" s="259">
        <f t="shared" si="18"/>
        <v>0</v>
      </c>
      <c r="Z26" s="259">
        <f>'BPA Product '!M26</f>
        <v>0</v>
      </c>
      <c r="AA26" s="260">
        <f>'BPA Product '!Y26</f>
        <v>0</v>
      </c>
      <c r="AB26" s="260">
        <f>'BPA Product '!Z26</f>
        <v>0</v>
      </c>
      <c r="AC26" s="260">
        <f>'BPA Product '!AA26</f>
        <v>0</v>
      </c>
      <c r="AD26" s="259">
        <f t="shared" si="19"/>
        <v>0</v>
      </c>
      <c r="AE26" s="360"/>
      <c r="AF26" s="259">
        <f t="shared" si="20"/>
        <v>0</v>
      </c>
      <c r="AG26" s="259">
        <f>'BPA Product '!N26</f>
        <v>0</v>
      </c>
      <c r="AH26" s="260">
        <f>'BPA Product '!AB26</f>
        <v>0</v>
      </c>
      <c r="AI26" s="260">
        <f>'BPA Product '!AC26</f>
        <v>0</v>
      </c>
      <c r="AJ26" s="260">
        <f>'BPA Product '!AD26</f>
        <v>0</v>
      </c>
      <c r="AK26" s="259">
        <f t="shared" si="21"/>
        <v>0</v>
      </c>
      <c r="AL26" s="258"/>
      <c r="AM26" s="259">
        <f t="shared" si="22"/>
        <v>36</v>
      </c>
      <c r="AN26" s="259">
        <f t="shared" si="23"/>
        <v>0</v>
      </c>
      <c r="AO26" s="633"/>
      <c r="AP26" s="633"/>
      <c r="AQ26" s="259">
        <f>'BPA Product '!AQ26</f>
        <v>0</v>
      </c>
      <c r="AR26" s="259">
        <f t="shared" si="24"/>
        <v>36</v>
      </c>
      <c r="AS26" s="258"/>
      <c r="AT26" s="259">
        <f t="shared" si="25"/>
        <v>1191.6000000000063</v>
      </c>
      <c r="AU26" s="259">
        <f t="shared" si="26"/>
        <v>0</v>
      </c>
      <c r="AV26" s="1363"/>
      <c r="AW26" s="1363"/>
      <c r="AX26" s="259">
        <f>'BPA Product '!AR26</f>
        <v>0</v>
      </c>
      <c r="AY26" s="259">
        <f t="shared" si="27"/>
        <v>1191.6000000000063</v>
      </c>
      <c r="AZ26" s="258"/>
      <c r="BA26" s="260">
        <f t="shared" si="28"/>
        <v>0</v>
      </c>
      <c r="BB26" s="259">
        <f t="shared" si="29"/>
        <v>0</v>
      </c>
      <c r="BC26" s="637"/>
      <c r="BD26" s="636"/>
      <c r="BE26" s="685">
        <f>'BPA Product '!AS26</f>
        <v>0</v>
      </c>
      <c r="BF26" s="259">
        <f t="shared" si="30"/>
        <v>0</v>
      </c>
      <c r="BG26" s="258"/>
      <c r="BH26" s="259">
        <f t="shared" si="31"/>
        <v>-2.9842794901924208E-12</v>
      </c>
      <c r="BI26" s="259">
        <f t="shared" si="0"/>
        <v>0</v>
      </c>
      <c r="BJ26" s="633"/>
      <c r="BK26" s="633"/>
      <c r="BL26" s="259">
        <f>'BPA Product '!AM26</f>
        <v>0</v>
      </c>
      <c r="BM26" s="259">
        <f t="shared" si="32"/>
        <v>-2.9842794901924208E-12</v>
      </c>
      <c r="BN26" s="258"/>
      <c r="BO26" s="259">
        <f t="shared" si="33"/>
        <v>1080.0000000000007</v>
      </c>
      <c r="BP26" s="259">
        <f t="shared" si="34"/>
        <v>486</v>
      </c>
      <c r="BQ26" s="637"/>
      <c r="BR26" s="636"/>
      <c r="BS26" s="259">
        <f>'BPA Product '!AO26</f>
        <v>0</v>
      </c>
      <c r="BT26" s="259">
        <f t="shared" si="59"/>
        <v>1566.0000000000007</v>
      </c>
      <c r="BU26" s="258"/>
      <c r="BV26" s="1161">
        <f t="shared" si="36"/>
        <v>8</v>
      </c>
      <c r="BW26" s="259">
        <f t="shared" si="1"/>
        <v>0</v>
      </c>
      <c r="BX26" s="637"/>
      <c r="BY26" s="636"/>
      <c r="BZ26" s="685">
        <f>'BPA Product '!AP26</f>
        <v>0</v>
      </c>
      <c r="CA26" s="259">
        <f t="shared" si="2"/>
        <v>8</v>
      </c>
      <c r="CB26" s="258"/>
      <c r="CC26" s="810">
        <f t="shared" si="37"/>
        <v>75</v>
      </c>
      <c r="CD26" s="810">
        <f t="shared" si="38"/>
        <v>0</v>
      </c>
      <c r="CE26" s="811"/>
      <c r="CF26" s="811"/>
      <c r="CG26" s="498">
        <f>'BPA Product '!AN26</f>
        <v>0</v>
      </c>
      <c r="CH26" s="810">
        <f t="shared" si="39"/>
        <v>75</v>
      </c>
      <c r="CI26" s="258"/>
      <c r="CJ26" s="810">
        <f t="shared" si="40"/>
        <v>0</v>
      </c>
      <c r="CK26" s="810">
        <f t="shared" si="3"/>
        <v>0</v>
      </c>
      <c r="CL26" s="811"/>
      <c r="CM26" s="811"/>
      <c r="CN26" s="498">
        <f>'BPA Product '!AS26</f>
        <v>0</v>
      </c>
      <c r="CO26" s="810">
        <f t="shared" si="41"/>
        <v>0</v>
      </c>
      <c r="CP26" s="258"/>
      <c r="CQ26" s="810">
        <f t="shared" si="42"/>
        <v>136.79999999999998</v>
      </c>
      <c r="CR26" s="810">
        <f t="shared" si="4"/>
        <v>0</v>
      </c>
      <c r="CS26" s="811"/>
      <c r="CT26" s="811"/>
      <c r="CU26" s="811"/>
      <c r="CV26" s="498">
        <f>'BPA Product '!AV26</f>
        <v>0</v>
      </c>
      <c r="CW26" s="259">
        <f t="shared" si="43"/>
        <v>136.79999999999998</v>
      </c>
      <c r="CX26" s="258"/>
      <c r="CY26" s="810">
        <f t="shared" si="44"/>
        <v>0</v>
      </c>
      <c r="CZ26" s="810"/>
      <c r="DA26" s="811"/>
      <c r="DB26" s="811"/>
      <c r="DC26" s="811"/>
      <c r="DD26" s="498">
        <f>'BPA Product '!AW26</f>
        <v>0</v>
      </c>
      <c r="DE26" s="259">
        <f t="shared" si="45"/>
        <v>0</v>
      </c>
      <c r="DF26" s="258"/>
      <c r="DG26" s="259">
        <f t="shared" si="46"/>
        <v>0</v>
      </c>
      <c r="DH26" s="260">
        <f t="shared" si="5"/>
        <v>0</v>
      </c>
      <c r="DI26" s="631"/>
      <c r="DJ26" s="639"/>
      <c r="DK26" s="260">
        <f>'BPA Product '!AX26</f>
        <v>0</v>
      </c>
      <c r="DL26" s="259">
        <f t="shared" si="47"/>
        <v>0</v>
      </c>
      <c r="DM26" s="258"/>
      <c r="DN26" s="259">
        <f t="shared" si="48"/>
        <v>66.599999999999994</v>
      </c>
      <c r="DO26" s="260">
        <f t="shared" si="6"/>
        <v>0</v>
      </c>
      <c r="DP26" s="633"/>
      <c r="DQ26" s="1358"/>
      <c r="DR26" s="260">
        <f>'BPA Product '!AY26</f>
        <v>0</v>
      </c>
      <c r="DS26" s="259">
        <f t="shared" si="49"/>
        <v>66.599999999999994</v>
      </c>
      <c r="DT26" s="258"/>
      <c r="DU26" s="259">
        <f t="shared" si="50"/>
        <v>-1.7763568394002505E-14</v>
      </c>
      <c r="DV26" s="260">
        <f t="shared" si="7"/>
        <v>0</v>
      </c>
      <c r="DW26" s="631"/>
      <c r="DX26" s="639"/>
      <c r="DY26" s="260">
        <f>'BPA Product '!AZ26</f>
        <v>0</v>
      </c>
      <c r="DZ26" s="259">
        <f t="shared" si="51"/>
        <v>-1.7763568394002505E-14</v>
      </c>
      <c r="EA26" s="258"/>
      <c r="EB26" s="263">
        <f t="shared" si="52"/>
        <v>0</v>
      </c>
      <c r="EC26" s="263">
        <f t="shared" si="8"/>
        <v>0</v>
      </c>
      <c r="ED26" s="639"/>
      <c r="EE26" s="639"/>
      <c r="EF26" s="263">
        <f>'BPA Product '!BA26</f>
        <v>0</v>
      </c>
      <c r="EG26" s="685">
        <f t="shared" si="53"/>
        <v>0</v>
      </c>
      <c r="EH26" s="258"/>
      <c r="EI26" s="263">
        <f t="shared" si="54"/>
        <v>0</v>
      </c>
      <c r="EJ26" s="263">
        <f t="shared" si="9"/>
        <v>0</v>
      </c>
      <c r="EK26" s="639"/>
      <c r="EL26" s="639"/>
      <c r="EM26" s="263">
        <f>'BPA Product '!BB26</f>
        <v>0</v>
      </c>
      <c r="EN26" s="685">
        <f t="shared" si="55"/>
        <v>0</v>
      </c>
      <c r="EO26" s="258"/>
      <c r="EP26" s="685">
        <f t="shared" si="56"/>
        <v>0</v>
      </c>
      <c r="EQ26" s="663">
        <f t="shared" si="10"/>
        <v>0</v>
      </c>
      <c r="ER26" s="664"/>
      <c r="ES26" s="664"/>
      <c r="ET26" s="809">
        <f>'BPA Product '!BC26</f>
        <v>0</v>
      </c>
      <c r="EU26" s="685">
        <f t="shared" si="57"/>
        <v>0</v>
      </c>
      <c r="EV26" s="258"/>
    </row>
    <row r="27" spans="1:152">
      <c r="A27" s="257">
        <f t="shared" si="58"/>
        <v>43821</v>
      </c>
      <c r="B27" s="261">
        <f t="shared" si="11"/>
        <v>0</v>
      </c>
      <c r="C27" s="501">
        <f>'BPA Product '!L27+'BPA Product '!O27-D27</f>
        <v>471.6</v>
      </c>
      <c r="D27" s="267">
        <f t="shared" si="12"/>
        <v>0</v>
      </c>
      <c r="E27" s="812">
        <f t="shared" si="13"/>
        <v>471.6</v>
      </c>
      <c r="F27" s="259">
        <f>'BPA Product '!Q27</f>
        <v>0</v>
      </c>
      <c r="G27" s="259">
        <f>'BPA Product '!R27</f>
        <v>471.6</v>
      </c>
      <c r="H27" s="543">
        <f>'BPA Product '!S27</f>
        <v>0</v>
      </c>
      <c r="I27" s="630">
        <f>'BPA Product '!U27</f>
        <v>0</v>
      </c>
      <c r="J27" s="630">
        <f>'BPA Product '!V27</f>
        <v>0</v>
      </c>
      <c r="K27" s="630">
        <f>'BPA Product '!X27</f>
        <v>0</v>
      </c>
      <c r="L27" s="543">
        <f>'BPA Product '!AG27</f>
        <v>0</v>
      </c>
      <c r="M27" s="543">
        <f>'BPA Product '!AF27</f>
        <v>0</v>
      </c>
      <c r="N27" s="543">
        <f>'BPA Product '!T27</f>
        <v>0</v>
      </c>
      <c r="O27" s="498">
        <f>'BPA Product '!AH27+'BPA Product '!AI27</f>
        <v>0</v>
      </c>
      <c r="P27" s="498"/>
      <c r="Q27" s="259">
        <f t="shared" si="14"/>
        <v>0</v>
      </c>
      <c r="R27" s="360"/>
      <c r="S27" s="498">
        <f t="shared" si="15"/>
        <v>751.77999999999952</v>
      </c>
      <c r="T27" s="498">
        <f t="shared" si="16"/>
        <v>0</v>
      </c>
      <c r="U27" s="508">
        <f>'BPA Product '!BD27+'BPA Product '!BE27</f>
        <v>0</v>
      </c>
      <c r="V27" s="508">
        <f>'BPA Product '!AJ27</f>
        <v>0</v>
      </c>
      <c r="W27" s="498">
        <f t="shared" si="17"/>
        <v>751.77999999999952</v>
      </c>
      <c r="X27" s="507"/>
      <c r="Y27" s="259">
        <f t="shared" si="18"/>
        <v>0</v>
      </c>
      <c r="Z27" s="259">
        <f>'BPA Product '!M27</f>
        <v>0</v>
      </c>
      <c r="AA27" s="260">
        <f>'BPA Product '!Y27</f>
        <v>0</v>
      </c>
      <c r="AB27" s="260">
        <f>'BPA Product '!Z27</f>
        <v>0</v>
      </c>
      <c r="AC27" s="260">
        <f>'BPA Product '!AA27</f>
        <v>0</v>
      </c>
      <c r="AD27" s="259">
        <f t="shared" si="19"/>
        <v>0</v>
      </c>
      <c r="AE27" s="360"/>
      <c r="AF27" s="259">
        <f t="shared" si="20"/>
        <v>0</v>
      </c>
      <c r="AG27" s="259">
        <f>'BPA Product '!N27</f>
        <v>0</v>
      </c>
      <c r="AH27" s="260">
        <f>'BPA Product '!AB27</f>
        <v>0</v>
      </c>
      <c r="AI27" s="260">
        <f>'BPA Product '!AC27</f>
        <v>0</v>
      </c>
      <c r="AJ27" s="260">
        <f>'BPA Product '!AD27</f>
        <v>0</v>
      </c>
      <c r="AK27" s="259">
        <f t="shared" si="21"/>
        <v>0</v>
      </c>
      <c r="AL27" s="258"/>
      <c r="AM27" s="259">
        <f t="shared" si="22"/>
        <v>36</v>
      </c>
      <c r="AN27" s="259">
        <f t="shared" si="23"/>
        <v>0</v>
      </c>
      <c r="AO27" s="633"/>
      <c r="AP27" s="633"/>
      <c r="AQ27" s="259">
        <f>'BPA Product '!AQ27</f>
        <v>0</v>
      </c>
      <c r="AR27" s="259">
        <f t="shared" si="24"/>
        <v>36</v>
      </c>
      <c r="AS27" s="258"/>
      <c r="AT27" s="259">
        <f t="shared" si="25"/>
        <v>1191.6000000000063</v>
      </c>
      <c r="AU27" s="259">
        <f t="shared" si="26"/>
        <v>0</v>
      </c>
      <c r="AV27" s="1363"/>
      <c r="AW27" s="1363"/>
      <c r="AX27" s="259">
        <f>'BPA Product '!AR27</f>
        <v>0</v>
      </c>
      <c r="AY27" s="259">
        <f t="shared" si="27"/>
        <v>1191.6000000000063</v>
      </c>
      <c r="AZ27" s="258"/>
      <c r="BA27" s="260">
        <f t="shared" si="28"/>
        <v>0</v>
      </c>
      <c r="BB27" s="259">
        <f t="shared" si="29"/>
        <v>0</v>
      </c>
      <c r="BC27" s="637"/>
      <c r="BD27" s="636"/>
      <c r="BE27" s="685">
        <f>'BPA Product '!AS27</f>
        <v>0</v>
      </c>
      <c r="BF27" s="259">
        <f t="shared" si="30"/>
        <v>0</v>
      </c>
      <c r="BG27" s="258"/>
      <c r="BH27" s="259">
        <f t="shared" si="31"/>
        <v>-2.9842794901924208E-12</v>
      </c>
      <c r="BI27" s="259">
        <f t="shared" si="0"/>
        <v>0</v>
      </c>
      <c r="BJ27" s="633"/>
      <c r="BK27" s="633"/>
      <c r="BL27" s="259">
        <f>'BPA Product '!AM27</f>
        <v>0</v>
      </c>
      <c r="BM27" s="259">
        <f t="shared" si="32"/>
        <v>-2.9842794901924208E-12</v>
      </c>
      <c r="BN27" s="258"/>
      <c r="BO27" s="259">
        <f t="shared" si="33"/>
        <v>1566.0000000000007</v>
      </c>
      <c r="BP27" s="259">
        <f t="shared" si="34"/>
        <v>471.6</v>
      </c>
      <c r="BQ27" s="637"/>
      <c r="BR27" s="636"/>
      <c r="BS27" s="259">
        <f>'BPA Product '!AO27</f>
        <v>522</v>
      </c>
      <c r="BT27" s="259">
        <f t="shared" si="59"/>
        <v>1515.6000000000008</v>
      </c>
      <c r="BU27" s="258"/>
      <c r="BV27" s="1161">
        <f t="shared" si="36"/>
        <v>8</v>
      </c>
      <c r="BW27" s="259">
        <f t="shared" si="1"/>
        <v>0</v>
      </c>
      <c r="BX27" s="637"/>
      <c r="BY27" s="636"/>
      <c r="BZ27" s="685">
        <f>'BPA Product '!AP27</f>
        <v>0</v>
      </c>
      <c r="CA27" s="259">
        <f t="shared" si="2"/>
        <v>8</v>
      </c>
      <c r="CB27" s="258"/>
      <c r="CC27" s="810">
        <f t="shared" si="37"/>
        <v>75</v>
      </c>
      <c r="CD27" s="810">
        <f t="shared" si="38"/>
        <v>0</v>
      </c>
      <c r="CE27" s="811"/>
      <c r="CF27" s="811"/>
      <c r="CG27" s="498">
        <f>'BPA Product '!AN27</f>
        <v>0</v>
      </c>
      <c r="CH27" s="810">
        <f t="shared" si="39"/>
        <v>75</v>
      </c>
      <c r="CI27" s="258"/>
      <c r="CJ27" s="810">
        <f t="shared" si="40"/>
        <v>0</v>
      </c>
      <c r="CK27" s="810">
        <f t="shared" si="3"/>
        <v>0</v>
      </c>
      <c r="CL27" s="811"/>
      <c r="CM27" s="811"/>
      <c r="CN27" s="498">
        <f>'BPA Product '!AS27</f>
        <v>0</v>
      </c>
      <c r="CO27" s="810">
        <f t="shared" si="41"/>
        <v>0</v>
      </c>
      <c r="CP27" s="258"/>
      <c r="CQ27" s="810">
        <f t="shared" si="42"/>
        <v>136.79999999999998</v>
      </c>
      <c r="CR27" s="810">
        <f t="shared" si="4"/>
        <v>0</v>
      </c>
      <c r="CS27" s="811"/>
      <c r="CT27" s="811"/>
      <c r="CU27" s="811"/>
      <c r="CV27" s="498">
        <f>'BPA Product '!AV27</f>
        <v>0</v>
      </c>
      <c r="CW27" s="259">
        <f t="shared" si="43"/>
        <v>136.79999999999998</v>
      </c>
      <c r="CX27" s="258"/>
      <c r="CY27" s="810">
        <f t="shared" si="44"/>
        <v>0</v>
      </c>
      <c r="CZ27" s="810"/>
      <c r="DA27" s="811"/>
      <c r="DB27" s="811"/>
      <c r="DC27" s="811"/>
      <c r="DD27" s="498">
        <f>'BPA Product '!AW27</f>
        <v>0</v>
      </c>
      <c r="DE27" s="259">
        <f t="shared" si="45"/>
        <v>0</v>
      </c>
      <c r="DF27" s="258"/>
      <c r="DG27" s="259">
        <f t="shared" si="46"/>
        <v>0</v>
      </c>
      <c r="DH27" s="260">
        <f t="shared" si="5"/>
        <v>0</v>
      </c>
      <c r="DI27" s="631"/>
      <c r="DJ27" s="639"/>
      <c r="DK27" s="260">
        <f>'BPA Product '!AX27</f>
        <v>0</v>
      </c>
      <c r="DL27" s="259">
        <f t="shared" si="47"/>
        <v>0</v>
      </c>
      <c r="DM27" s="258"/>
      <c r="DN27" s="259">
        <f t="shared" si="48"/>
        <v>66.599999999999994</v>
      </c>
      <c r="DO27" s="260">
        <f t="shared" si="6"/>
        <v>0</v>
      </c>
      <c r="DP27" s="633"/>
      <c r="DQ27" s="1358"/>
      <c r="DR27" s="260">
        <f>'BPA Product '!AY27</f>
        <v>0</v>
      </c>
      <c r="DS27" s="259">
        <f t="shared" si="49"/>
        <v>66.599999999999994</v>
      </c>
      <c r="DT27" s="258"/>
      <c r="DU27" s="259">
        <f t="shared" si="50"/>
        <v>-1.7763568394002505E-14</v>
      </c>
      <c r="DV27" s="260">
        <f t="shared" si="7"/>
        <v>0</v>
      </c>
      <c r="DW27" s="631"/>
      <c r="DX27" s="639"/>
      <c r="DY27" s="260">
        <f>'BPA Product '!AZ27</f>
        <v>0</v>
      </c>
      <c r="DZ27" s="259">
        <f t="shared" si="51"/>
        <v>-1.7763568394002505E-14</v>
      </c>
      <c r="EA27" s="258"/>
      <c r="EB27" s="263">
        <f t="shared" si="52"/>
        <v>0</v>
      </c>
      <c r="EC27" s="263">
        <f t="shared" si="8"/>
        <v>0</v>
      </c>
      <c r="ED27" s="639"/>
      <c r="EE27" s="639"/>
      <c r="EF27" s="263">
        <f>'BPA Product '!BA27</f>
        <v>0</v>
      </c>
      <c r="EG27" s="685">
        <f t="shared" si="53"/>
        <v>0</v>
      </c>
      <c r="EH27" s="258"/>
      <c r="EI27" s="263">
        <f t="shared" si="54"/>
        <v>0</v>
      </c>
      <c r="EJ27" s="263">
        <f t="shared" si="9"/>
        <v>0</v>
      </c>
      <c r="EK27" s="639"/>
      <c r="EL27" s="639"/>
      <c r="EM27" s="263">
        <f>'BPA Product '!BB27</f>
        <v>0</v>
      </c>
      <c r="EN27" s="685">
        <f t="shared" si="55"/>
        <v>0</v>
      </c>
      <c r="EO27" s="258"/>
      <c r="EP27" s="685">
        <f t="shared" si="56"/>
        <v>0</v>
      </c>
      <c r="EQ27" s="663">
        <f t="shared" si="10"/>
        <v>0</v>
      </c>
      <c r="ER27" s="664"/>
      <c r="ES27" s="664"/>
      <c r="ET27" s="809">
        <f>'BPA Product '!BC27</f>
        <v>0</v>
      </c>
      <c r="EU27" s="685">
        <f t="shared" si="57"/>
        <v>0</v>
      </c>
      <c r="EV27" s="258"/>
    </row>
    <row r="28" spans="1:152">
      <c r="A28" s="257">
        <f t="shared" si="58"/>
        <v>43822</v>
      </c>
      <c r="B28" s="261">
        <f t="shared" si="11"/>
        <v>0</v>
      </c>
      <c r="C28" s="501">
        <f>'BPA Product '!L28+'BPA Product '!O28-D28</f>
        <v>424.8</v>
      </c>
      <c r="D28" s="267">
        <f t="shared" si="12"/>
        <v>0</v>
      </c>
      <c r="E28" s="812">
        <f t="shared" si="13"/>
        <v>424.8</v>
      </c>
      <c r="F28" s="259">
        <f>'BPA Product '!Q28</f>
        <v>0</v>
      </c>
      <c r="G28" s="259">
        <f>'BPA Product '!R28</f>
        <v>50.4</v>
      </c>
      <c r="H28" s="543">
        <f>'BPA Product '!S28</f>
        <v>0</v>
      </c>
      <c r="I28" s="630">
        <f>'BPA Product '!U28</f>
        <v>0</v>
      </c>
      <c r="J28" s="630">
        <f>'BPA Product '!V28</f>
        <v>374.40000000000003</v>
      </c>
      <c r="K28" s="630">
        <f>'BPA Product '!X28</f>
        <v>0</v>
      </c>
      <c r="L28" s="543">
        <f>'BPA Product '!AG28</f>
        <v>0</v>
      </c>
      <c r="M28" s="543">
        <f>'BPA Product '!AF28</f>
        <v>0</v>
      </c>
      <c r="N28" s="543">
        <f>'BPA Product '!T28</f>
        <v>0</v>
      </c>
      <c r="O28" s="498">
        <f>'BPA Product '!AH28+'BPA Product '!AI28</f>
        <v>0</v>
      </c>
      <c r="P28" s="498"/>
      <c r="Q28" s="259">
        <f t="shared" si="14"/>
        <v>0</v>
      </c>
      <c r="R28" s="360"/>
      <c r="S28" s="498">
        <f t="shared" si="15"/>
        <v>751.77999999999952</v>
      </c>
      <c r="T28" s="498">
        <f t="shared" si="16"/>
        <v>0</v>
      </c>
      <c r="U28" s="508">
        <f>'BPA Product '!BD28+'BPA Product '!BE28</f>
        <v>135.49</v>
      </c>
      <c r="V28" s="508">
        <f>'BPA Product '!AJ28</f>
        <v>0</v>
      </c>
      <c r="W28" s="498">
        <f t="shared" si="17"/>
        <v>616.28999999999951</v>
      </c>
      <c r="X28" s="507"/>
      <c r="Y28" s="259">
        <f t="shared" si="18"/>
        <v>0</v>
      </c>
      <c r="Z28" s="259">
        <f>'BPA Product '!M28</f>
        <v>0</v>
      </c>
      <c r="AA28" s="260">
        <f>'BPA Product '!Y28</f>
        <v>0</v>
      </c>
      <c r="AB28" s="260">
        <f>'BPA Product '!Z28</f>
        <v>0</v>
      </c>
      <c r="AC28" s="260">
        <f>'BPA Product '!AA28</f>
        <v>0</v>
      </c>
      <c r="AD28" s="259">
        <f t="shared" si="19"/>
        <v>0</v>
      </c>
      <c r="AE28" s="360"/>
      <c r="AF28" s="259">
        <f t="shared" si="20"/>
        <v>0</v>
      </c>
      <c r="AG28" s="259">
        <f>'BPA Product '!N28</f>
        <v>0</v>
      </c>
      <c r="AH28" s="260">
        <f>'BPA Product '!AB28</f>
        <v>0</v>
      </c>
      <c r="AI28" s="260">
        <f>'BPA Product '!AC28</f>
        <v>0</v>
      </c>
      <c r="AJ28" s="260">
        <f>'BPA Product '!AD28</f>
        <v>0</v>
      </c>
      <c r="AK28" s="259">
        <f t="shared" si="21"/>
        <v>0</v>
      </c>
      <c r="AL28" s="258"/>
      <c r="AM28" s="259">
        <f t="shared" si="22"/>
        <v>36</v>
      </c>
      <c r="AN28" s="259">
        <f t="shared" si="23"/>
        <v>0</v>
      </c>
      <c r="AO28" s="633"/>
      <c r="AP28" s="633"/>
      <c r="AQ28" s="259">
        <f>'BPA Product '!AQ28</f>
        <v>36</v>
      </c>
      <c r="AR28" s="259">
        <f t="shared" si="24"/>
        <v>0</v>
      </c>
      <c r="AS28" s="258"/>
      <c r="AT28" s="259">
        <f t="shared" si="25"/>
        <v>1191.6000000000063</v>
      </c>
      <c r="AU28" s="259">
        <f t="shared" si="26"/>
        <v>374.40000000000003</v>
      </c>
      <c r="AV28" s="1363"/>
      <c r="AW28" s="1363"/>
      <c r="AX28" s="259">
        <f>'BPA Product '!AR28</f>
        <v>522</v>
      </c>
      <c r="AY28" s="259">
        <f t="shared" si="27"/>
        <v>1044.0000000000064</v>
      </c>
      <c r="AZ28" s="258"/>
      <c r="BA28" s="260">
        <f t="shared" si="28"/>
        <v>0</v>
      </c>
      <c r="BB28" s="259">
        <f t="shared" si="29"/>
        <v>0</v>
      </c>
      <c r="BC28" s="637"/>
      <c r="BD28" s="636"/>
      <c r="BE28" s="685">
        <f>'BPA Product '!AS28</f>
        <v>0</v>
      </c>
      <c r="BF28" s="259">
        <f t="shared" si="30"/>
        <v>0</v>
      </c>
      <c r="BG28" s="258"/>
      <c r="BH28" s="259">
        <f t="shared" si="31"/>
        <v>-2.9842794901924208E-12</v>
      </c>
      <c r="BI28" s="259">
        <f t="shared" si="0"/>
        <v>0</v>
      </c>
      <c r="BJ28" s="633"/>
      <c r="BK28" s="633"/>
      <c r="BL28" s="259">
        <f>'BPA Product '!AM28</f>
        <v>0</v>
      </c>
      <c r="BM28" s="259">
        <f t="shared" si="32"/>
        <v>-2.9842794901924208E-12</v>
      </c>
      <c r="BN28" s="258"/>
      <c r="BO28" s="259">
        <f t="shared" si="33"/>
        <v>1515.6000000000008</v>
      </c>
      <c r="BP28" s="259">
        <f t="shared" si="34"/>
        <v>50.4</v>
      </c>
      <c r="BQ28" s="637"/>
      <c r="BR28" s="636"/>
      <c r="BS28" s="259">
        <f>'BPA Product '!AO28</f>
        <v>522</v>
      </c>
      <c r="BT28" s="259">
        <f t="shared" si="59"/>
        <v>1044.0000000000009</v>
      </c>
      <c r="BU28" s="258"/>
      <c r="BV28" s="1161">
        <f t="shared" si="36"/>
        <v>8</v>
      </c>
      <c r="BW28" s="259">
        <f t="shared" si="1"/>
        <v>0</v>
      </c>
      <c r="BX28" s="637"/>
      <c r="BY28" s="636"/>
      <c r="BZ28" s="685">
        <f>'BPA Product '!AP28</f>
        <v>8</v>
      </c>
      <c r="CA28" s="259">
        <f t="shared" si="2"/>
        <v>0</v>
      </c>
      <c r="CB28" s="258"/>
      <c r="CC28" s="810">
        <f t="shared" si="37"/>
        <v>75</v>
      </c>
      <c r="CD28" s="810">
        <f t="shared" si="38"/>
        <v>0</v>
      </c>
      <c r="CE28" s="811"/>
      <c r="CF28" s="811"/>
      <c r="CG28" s="498">
        <f>'BPA Product '!AN28</f>
        <v>0</v>
      </c>
      <c r="CH28" s="810">
        <f t="shared" si="39"/>
        <v>75</v>
      </c>
      <c r="CI28" s="258"/>
      <c r="CJ28" s="810">
        <f t="shared" si="40"/>
        <v>0</v>
      </c>
      <c r="CK28" s="810">
        <f t="shared" si="3"/>
        <v>0</v>
      </c>
      <c r="CL28" s="811"/>
      <c r="CM28" s="811"/>
      <c r="CN28" s="498">
        <f>'BPA Product '!AS28</f>
        <v>0</v>
      </c>
      <c r="CO28" s="810">
        <f t="shared" si="41"/>
        <v>0</v>
      </c>
      <c r="CP28" s="258"/>
      <c r="CQ28" s="810">
        <f t="shared" si="42"/>
        <v>136.79999999999998</v>
      </c>
      <c r="CR28" s="810">
        <f t="shared" si="4"/>
        <v>0</v>
      </c>
      <c r="CS28" s="811"/>
      <c r="CT28" s="811"/>
      <c r="CU28" s="811"/>
      <c r="CV28" s="498">
        <f>'BPA Product '!AV28</f>
        <v>0</v>
      </c>
      <c r="CW28" s="259">
        <f t="shared" si="43"/>
        <v>136.79999999999998</v>
      </c>
      <c r="CX28" s="258"/>
      <c r="CY28" s="810">
        <f t="shared" si="44"/>
        <v>0</v>
      </c>
      <c r="CZ28" s="810"/>
      <c r="DA28" s="811"/>
      <c r="DB28" s="811"/>
      <c r="DC28" s="811"/>
      <c r="DD28" s="498">
        <f>'BPA Product '!AW28</f>
        <v>0</v>
      </c>
      <c r="DE28" s="259">
        <f t="shared" si="45"/>
        <v>0</v>
      </c>
      <c r="DF28" s="258"/>
      <c r="DG28" s="259">
        <f t="shared" si="46"/>
        <v>0</v>
      </c>
      <c r="DH28" s="260">
        <f t="shared" si="5"/>
        <v>0</v>
      </c>
      <c r="DI28" s="631"/>
      <c r="DJ28" s="639"/>
      <c r="DK28" s="260">
        <f>'BPA Product '!AX28</f>
        <v>0</v>
      </c>
      <c r="DL28" s="259">
        <f t="shared" si="47"/>
        <v>0</v>
      </c>
      <c r="DM28" s="258"/>
      <c r="DN28" s="259">
        <f t="shared" si="48"/>
        <v>66.599999999999994</v>
      </c>
      <c r="DO28" s="260">
        <f t="shared" si="6"/>
        <v>0</v>
      </c>
      <c r="DP28" s="633"/>
      <c r="DQ28" s="1358"/>
      <c r="DR28" s="260">
        <f>'BPA Product '!AY28</f>
        <v>0</v>
      </c>
      <c r="DS28" s="259">
        <f t="shared" si="49"/>
        <v>66.599999999999994</v>
      </c>
      <c r="DT28" s="258"/>
      <c r="DU28" s="259">
        <f t="shared" si="50"/>
        <v>-1.7763568394002505E-14</v>
      </c>
      <c r="DV28" s="260">
        <f t="shared" si="7"/>
        <v>0</v>
      </c>
      <c r="DW28" s="631"/>
      <c r="DX28" s="639"/>
      <c r="DY28" s="260">
        <f>'BPA Product '!AZ28</f>
        <v>0</v>
      </c>
      <c r="DZ28" s="259">
        <f t="shared" si="51"/>
        <v>-1.7763568394002505E-14</v>
      </c>
      <c r="EA28" s="258"/>
      <c r="EB28" s="263">
        <f t="shared" si="52"/>
        <v>0</v>
      </c>
      <c r="EC28" s="263">
        <f t="shared" si="8"/>
        <v>0</v>
      </c>
      <c r="ED28" s="639"/>
      <c r="EE28" s="639"/>
      <c r="EF28" s="263">
        <f>'BPA Product '!BA28</f>
        <v>0</v>
      </c>
      <c r="EG28" s="685">
        <f t="shared" si="53"/>
        <v>0</v>
      </c>
      <c r="EH28" s="258"/>
      <c r="EI28" s="263">
        <f t="shared" si="54"/>
        <v>0</v>
      </c>
      <c r="EJ28" s="263">
        <f t="shared" si="9"/>
        <v>0</v>
      </c>
      <c r="EK28" s="639"/>
      <c r="EL28" s="639"/>
      <c r="EM28" s="263">
        <f>'BPA Product '!BB28</f>
        <v>0</v>
      </c>
      <c r="EN28" s="685">
        <f t="shared" si="55"/>
        <v>0</v>
      </c>
      <c r="EO28" s="258"/>
      <c r="EP28" s="685">
        <f t="shared" si="56"/>
        <v>0</v>
      </c>
      <c r="EQ28" s="663">
        <f t="shared" si="10"/>
        <v>0</v>
      </c>
      <c r="ER28" s="664"/>
      <c r="ES28" s="664"/>
      <c r="ET28" s="809">
        <f>'BPA Product '!BC28</f>
        <v>0</v>
      </c>
      <c r="EU28" s="685">
        <f t="shared" si="57"/>
        <v>0</v>
      </c>
      <c r="EV28" s="258"/>
    </row>
    <row r="29" spans="1:152">
      <c r="A29" s="257">
        <f t="shared" si="58"/>
        <v>43823</v>
      </c>
      <c r="B29" s="261">
        <f t="shared" si="11"/>
        <v>0</v>
      </c>
      <c r="C29" s="501">
        <f>'BPA Product '!L29+'BPA Product '!O29-D29</f>
        <v>0</v>
      </c>
      <c r="D29" s="267">
        <f t="shared" si="12"/>
        <v>0</v>
      </c>
      <c r="E29" s="812">
        <f t="shared" si="13"/>
        <v>0</v>
      </c>
      <c r="F29" s="259">
        <f>'BPA Product '!Q29</f>
        <v>0</v>
      </c>
      <c r="G29" s="259">
        <f>'BPA Product '!R29</f>
        <v>0</v>
      </c>
      <c r="H29" s="543">
        <f>'BPA Product '!S29</f>
        <v>0</v>
      </c>
      <c r="I29" s="630">
        <f>'BPA Product '!U29</f>
        <v>0</v>
      </c>
      <c r="J29" s="630">
        <f>'BPA Product '!V29</f>
        <v>0</v>
      </c>
      <c r="K29" s="630">
        <f>'BPA Product '!X29</f>
        <v>0</v>
      </c>
      <c r="L29" s="543">
        <f>'BPA Product '!AG29</f>
        <v>0</v>
      </c>
      <c r="M29" s="543">
        <f>'BPA Product '!AF29</f>
        <v>0</v>
      </c>
      <c r="N29" s="543">
        <f>'BPA Product '!T29</f>
        <v>0</v>
      </c>
      <c r="O29" s="498">
        <f>'BPA Product '!AH29+'BPA Product '!AI29</f>
        <v>0</v>
      </c>
      <c r="P29" s="498"/>
      <c r="Q29" s="259">
        <f t="shared" si="14"/>
        <v>0</v>
      </c>
      <c r="R29" s="360"/>
      <c r="S29" s="498">
        <f t="shared" si="15"/>
        <v>616.28999999999951</v>
      </c>
      <c r="T29" s="498">
        <f t="shared" si="16"/>
        <v>0</v>
      </c>
      <c r="U29" s="508">
        <f>'BPA Product '!BD29+'BPA Product '!BE29</f>
        <v>150.19999999999999</v>
      </c>
      <c r="V29" s="508">
        <f>'BPA Product '!AJ29</f>
        <v>0</v>
      </c>
      <c r="W29" s="498">
        <f t="shared" si="17"/>
        <v>466.08999999999952</v>
      </c>
      <c r="X29" s="507"/>
      <c r="Y29" s="259">
        <f t="shared" si="18"/>
        <v>0</v>
      </c>
      <c r="Z29" s="259">
        <f>'BPA Product '!M29</f>
        <v>0</v>
      </c>
      <c r="AA29" s="260">
        <f>'BPA Product '!Y29</f>
        <v>0</v>
      </c>
      <c r="AB29" s="260">
        <f>'BPA Product '!Z29</f>
        <v>0</v>
      </c>
      <c r="AC29" s="260">
        <f>'BPA Product '!AA29</f>
        <v>0</v>
      </c>
      <c r="AD29" s="259">
        <f t="shared" si="19"/>
        <v>0</v>
      </c>
      <c r="AE29" s="360"/>
      <c r="AF29" s="259">
        <f t="shared" si="20"/>
        <v>0</v>
      </c>
      <c r="AG29" s="259">
        <f>'BPA Product '!N29</f>
        <v>0</v>
      </c>
      <c r="AH29" s="260">
        <f>'BPA Product '!AB29</f>
        <v>0</v>
      </c>
      <c r="AI29" s="260">
        <f>'BPA Product '!AC29</f>
        <v>0</v>
      </c>
      <c r="AJ29" s="260">
        <f>'BPA Product '!AD29</f>
        <v>0</v>
      </c>
      <c r="AK29" s="259">
        <f t="shared" si="21"/>
        <v>0</v>
      </c>
      <c r="AL29" s="258"/>
      <c r="AM29" s="259">
        <f t="shared" si="22"/>
        <v>0</v>
      </c>
      <c r="AN29" s="259">
        <f t="shared" si="23"/>
        <v>0</v>
      </c>
      <c r="AO29" s="633"/>
      <c r="AP29" s="633"/>
      <c r="AQ29" s="259">
        <f>'BPA Product '!AQ29</f>
        <v>0</v>
      </c>
      <c r="AR29" s="259">
        <f t="shared" si="24"/>
        <v>0</v>
      </c>
      <c r="AS29" s="258"/>
      <c r="AT29" s="259">
        <f t="shared" si="25"/>
        <v>1044.0000000000064</v>
      </c>
      <c r="AU29" s="259">
        <f t="shared" si="26"/>
        <v>0</v>
      </c>
      <c r="AV29" s="1363"/>
      <c r="AW29" s="1363"/>
      <c r="AX29" s="259">
        <f>'BPA Product '!AR29</f>
        <v>522</v>
      </c>
      <c r="AY29" s="259">
        <f t="shared" si="27"/>
        <v>522.00000000000637</v>
      </c>
      <c r="AZ29" s="258"/>
      <c r="BA29" s="260">
        <f t="shared" si="28"/>
        <v>0</v>
      </c>
      <c r="BB29" s="259">
        <f t="shared" si="29"/>
        <v>0</v>
      </c>
      <c r="BC29" s="637"/>
      <c r="BD29" s="636"/>
      <c r="BE29" s="685">
        <f>'BPA Product '!AS29</f>
        <v>0</v>
      </c>
      <c r="BF29" s="259">
        <f t="shared" si="30"/>
        <v>0</v>
      </c>
      <c r="BG29" s="258"/>
      <c r="BH29" s="259">
        <f t="shared" si="31"/>
        <v>-2.9842794901924208E-12</v>
      </c>
      <c r="BI29" s="259">
        <f t="shared" si="0"/>
        <v>0</v>
      </c>
      <c r="BJ29" s="633"/>
      <c r="BK29" s="633"/>
      <c r="BL29" s="259">
        <f>'BPA Product '!AM29</f>
        <v>0</v>
      </c>
      <c r="BM29" s="259">
        <f t="shared" si="32"/>
        <v>-2.9842794901924208E-12</v>
      </c>
      <c r="BN29" s="258"/>
      <c r="BO29" s="259">
        <f t="shared" si="33"/>
        <v>1044.0000000000009</v>
      </c>
      <c r="BP29" s="259">
        <f t="shared" si="34"/>
        <v>0</v>
      </c>
      <c r="BQ29" s="637"/>
      <c r="BR29" s="636"/>
      <c r="BS29" s="259">
        <f>'BPA Product '!AO29</f>
        <v>0</v>
      </c>
      <c r="BT29" s="259">
        <f t="shared" si="59"/>
        <v>1044.0000000000009</v>
      </c>
      <c r="BU29" s="258"/>
      <c r="BV29" s="1161">
        <f t="shared" si="36"/>
        <v>0</v>
      </c>
      <c r="BW29" s="259">
        <f t="shared" si="1"/>
        <v>0</v>
      </c>
      <c r="BX29" s="637"/>
      <c r="BY29" s="636"/>
      <c r="BZ29" s="685">
        <f>'BPA Product '!AP29</f>
        <v>0</v>
      </c>
      <c r="CA29" s="259">
        <f t="shared" si="2"/>
        <v>0</v>
      </c>
      <c r="CB29" s="258"/>
      <c r="CC29" s="810">
        <f t="shared" si="37"/>
        <v>75</v>
      </c>
      <c r="CD29" s="810">
        <f t="shared" si="38"/>
        <v>0</v>
      </c>
      <c r="CE29" s="811"/>
      <c r="CF29" s="811"/>
      <c r="CG29" s="498">
        <f>'BPA Product '!AN29</f>
        <v>0</v>
      </c>
      <c r="CH29" s="810">
        <f t="shared" si="39"/>
        <v>75</v>
      </c>
      <c r="CI29" s="258"/>
      <c r="CJ29" s="810">
        <f t="shared" si="40"/>
        <v>0</v>
      </c>
      <c r="CK29" s="810">
        <f t="shared" si="3"/>
        <v>0</v>
      </c>
      <c r="CL29" s="811"/>
      <c r="CM29" s="811"/>
      <c r="CN29" s="498">
        <f>'BPA Product '!AS29</f>
        <v>0</v>
      </c>
      <c r="CO29" s="810">
        <f t="shared" si="41"/>
        <v>0</v>
      </c>
      <c r="CP29" s="258"/>
      <c r="CQ29" s="810">
        <f t="shared" si="42"/>
        <v>136.79999999999998</v>
      </c>
      <c r="CR29" s="810">
        <f t="shared" si="4"/>
        <v>0</v>
      </c>
      <c r="CS29" s="811"/>
      <c r="CT29" s="811"/>
      <c r="CU29" s="811"/>
      <c r="CV29" s="498">
        <f>'BPA Product '!AV29</f>
        <v>0</v>
      </c>
      <c r="CW29" s="259">
        <f t="shared" si="43"/>
        <v>136.79999999999998</v>
      </c>
      <c r="CX29" s="258"/>
      <c r="CY29" s="810">
        <f t="shared" si="44"/>
        <v>0</v>
      </c>
      <c r="CZ29" s="810"/>
      <c r="DA29" s="811"/>
      <c r="DB29" s="811"/>
      <c r="DC29" s="811"/>
      <c r="DD29" s="498">
        <f>'BPA Product '!AW29</f>
        <v>0</v>
      </c>
      <c r="DE29" s="259">
        <f t="shared" si="45"/>
        <v>0</v>
      </c>
      <c r="DF29" s="258"/>
      <c r="DG29" s="259">
        <f t="shared" si="46"/>
        <v>0</v>
      </c>
      <c r="DH29" s="260">
        <f t="shared" si="5"/>
        <v>0</v>
      </c>
      <c r="DI29" s="631"/>
      <c r="DJ29" s="639"/>
      <c r="DK29" s="260">
        <f>'BPA Product '!AX29</f>
        <v>0</v>
      </c>
      <c r="DL29" s="259">
        <f t="shared" si="47"/>
        <v>0</v>
      </c>
      <c r="DM29" s="258"/>
      <c r="DN29" s="259">
        <f t="shared" si="48"/>
        <v>66.599999999999994</v>
      </c>
      <c r="DO29" s="260">
        <f t="shared" si="6"/>
        <v>0</v>
      </c>
      <c r="DP29" s="633"/>
      <c r="DQ29" s="1358"/>
      <c r="DR29" s="260">
        <f>'BPA Product '!AY29</f>
        <v>0</v>
      </c>
      <c r="DS29" s="259">
        <f t="shared" si="49"/>
        <v>66.599999999999994</v>
      </c>
      <c r="DT29" s="258"/>
      <c r="DU29" s="259">
        <f t="shared" si="50"/>
        <v>-1.7763568394002505E-14</v>
      </c>
      <c r="DV29" s="260">
        <f t="shared" si="7"/>
        <v>0</v>
      </c>
      <c r="DW29" s="631"/>
      <c r="DX29" s="639"/>
      <c r="DY29" s="260">
        <f>'BPA Product '!AZ29</f>
        <v>0</v>
      </c>
      <c r="DZ29" s="259">
        <f t="shared" si="51"/>
        <v>-1.7763568394002505E-14</v>
      </c>
      <c r="EA29" s="258"/>
      <c r="EB29" s="263">
        <f t="shared" si="52"/>
        <v>0</v>
      </c>
      <c r="EC29" s="263">
        <f t="shared" si="8"/>
        <v>0</v>
      </c>
      <c r="ED29" s="639"/>
      <c r="EE29" s="639"/>
      <c r="EF29" s="263">
        <f>'BPA Product '!BA29</f>
        <v>0</v>
      </c>
      <c r="EG29" s="685">
        <f t="shared" si="53"/>
        <v>0</v>
      </c>
      <c r="EH29" s="258"/>
      <c r="EI29" s="263">
        <f t="shared" si="54"/>
        <v>0</v>
      </c>
      <c r="EJ29" s="263">
        <f t="shared" si="9"/>
        <v>0</v>
      </c>
      <c r="EK29" s="639"/>
      <c r="EL29" s="639"/>
      <c r="EM29" s="263">
        <f>'BPA Product '!BB29</f>
        <v>0</v>
      </c>
      <c r="EN29" s="685">
        <f t="shared" si="55"/>
        <v>0</v>
      </c>
      <c r="EO29" s="258"/>
      <c r="EP29" s="685">
        <f t="shared" si="56"/>
        <v>0</v>
      </c>
      <c r="EQ29" s="663">
        <f t="shared" si="10"/>
        <v>0</v>
      </c>
      <c r="ER29" s="664"/>
      <c r="ES29" s="664"/>
      <c r="ET29" s="809">
        <f>'BPA Product '!BC29</f>
        <v>0</v>
      </c>
      <c r="EU29" s="685">
        <f t="shared" si="57"/>
        <v>0</v>
      </c>
      <c r="EV29" s="258"/>
    </row>
    <row r="30" spans="1:152">
      <c r="A30" s="257">
        <f t="shared" si="58"/>
        <v>43824</v>
      </c>
      <c r="B30" s="261">
        <f t="shared" si="11"/>
        <v>0</v>
      </c>
      <c r="C30" s="501">
        <f>'BPA Product '!L30+'BPA Product '!O30-D30</f>
        <v>90</v>
      </c>
      <c r="D30" s="267">
        <f t="shared" si="12"/>
        <v>0</v>
      </c>
      <c r="E30" s="812">
        <f>D30+C30</f>
        <v>90</v>
      </c>
      <c r="F30" s="259">
        <f>'BPA Product '!Q30</f>
        <v>0</v>
      </c>
      <c r="G30" s="259">
        <f>'BPA Product '!R30</f>
        <v>0</v>
      </c>
      <c r="H30" s="543">
        <f>'BPA Product '!S30</f>
        <v>0</v>
      </c>
      <c r="I30" s="630">
        <f>'BPA Product '!U30</f>
        <v>90</v>
      </c>
      <c r="J30" s="630">
        <f>'BPA Product '!V30</f>
        <v>0</v>
      </c>
      <c r="K30" s="630">
        <f>'BPA Product '!X30</f>
        <v>0</v>
      </c>
      <c r="L30" s="543">
        <f>'BPA Product '!AG30</f>
        <v>0</v>
      </c>
      <c r="M30" s="543">
        <f>'BPA Product '!AF30</f>
        <v>0</v>
      </c>
      <c r="N30" s="543">
        <f>'BPA Product '!T30</f>
        <v>0</v>
      </c>
      <c r="O30" s="498">
        <f>'BPA Product '!AH30+'BPA Product '!AI30</f>
        <v>0</v>
      </c>
      <c r="P30" s="498"/>
      <c r="Q30" s="259">
        <f t="shared" si="14"/>
        <v>0</v>
      </c>
      <c r="R30" s="360"/>
      <c r="S30" s="498">
        <f t="shared" si="15"/>
        <v>466.08999999999952</v>
      </c>
      <c r="T30" s="498">
        <f t="shared" si="16"/>
        <v>0</v>
      </c>
      <c r="U30" s="508">
        <f>'BPA Product '!BD30+'BPA Product '!BE30</f>
        <v>150.47999999999999</v>
      </c>
      <c r="V30" s="508">
        <f>'BPA Product '!AJ30</f>
        <v>0</v>
      </c>
      <c r="W30" s="498">
        <f t="shared" si="17"/>
        <v>315.60999999999956</v>
      </c>
      <c r="X30" s="507"/>
      <c r="Y30" s="259">
        <f t="shared" si="18"/>
        <v>0</v>
      </c>
      <c r="Z30" s="259">
        <f>'BPA Product '!M30</f>
        <v>171</v>
      </c>
      <c r="AA30" s="260">
        <f>'BPA Product '!Y30</f>
        <v>0</v>
      </c>
      <c r="AB30" s="260">
        <f>'BPA Product '!Z30</f>
        <v>171</v>
      </c>
      <c r="AC30" s="260">
        <f>'BPA Product '!AA30</f>
        <v>0</v>
      </c>
      <c r="AD30" s="259">
        <f t="shared" si="19"/>
        <v>0</v>
      </c>
      <c r="AE30" s="360"/>
      <c r="AF30" s="259">
        <f t="shared" si="20"/>
        <v>0</v>
      </c>
      <c r="AG30" s="259">
        <f>'BPA Product '!N30</f>
        <v>0</v>
      </c>
      <c r="AH30" s="260">
        <f>'BPA Product '!AB30</f>
        <v>0</v>
      </c>
      <c r="AI30" s="260">
        <f>'BPA Product '!AC30</f>
        <v>0</v>
      </c>
      <c r="AJ30" s="260">
        <f>'BPA Product '!AD30</f>
        <v>0</v>
      </c>
      <c r="AK30" s="259">
        <f t="shared" si="21"/>
        <v>0</v>
      </c>
      <c r="AL30" s="258"/>
      <c r="AM30" s="259">
        <f t="shared" si="22"/>
        <v>0</v>
      </c>
      <c r="AN30" s="259">
        <f t="shared" si="23"/>
        <v>90</v>
      </c>
      <c r="AO30" s="633"/>
      <c r="AP30" s="633"/>
      <c r="AQ30" s="259">
        <f>'BPA Product '!AQ30</f>
        <v>0</v>
      </c>
      <c r="AR30" s="259">
        <f t="shared" si="24"/>
        <v>90</v>
      </c>
      <c r="AS30" s="258"/>
      <c r="AT30" s="259">
        <f t="shared" si="25"/>
        <v>522.00000000000637</v>
      </c>
      <c r="AU30" s="259">
        <f t="shared" si="26"/>
        <v>0</v>
      </c>
      <c r="AV30" s="1363"/>
      <c r="AW30" s="1363"/>
      <c r="AX30" s="259">
        <f>'BPA Product '!AR30</f>
        <v>2.8421709430404007E-14</v>
      </c>
      <c r="AY30" s="259">
        <f t="shared" si="27"/>
        <v>522.00000000000637</v>
      </c>
      <c r="AZ30" s="258"/>
      <c r="BA30" s="260">
        <f t="shared" si="28"/>
        <v>0</v>
      </c>
      <c r="BB30" s="259">
        <f t="shared" si="29"/>
        <v>0</v>
      </c>
      <c r="BC30" s="637"/>
      <c r="BD30" s="636"/>
      <c r="BE30" s="685">
        <f>'BPA Product '!AS30</f>
        <v>0</v>
      </c>
      <c r="BF30" s="259">
        <f t="shared" si="30"/>
        <v>0</v>
      </c>
      <c r="BG30" s="258"/>
      <c r="BH30" s="259">
        <f t="shared" si="31"/>
        <v>-2.9842794901924208E-12</v>
      </c>
      <c r="BI30" s="259">
        <f t="shared" si="0"/>
        <v>0</v>
      </c>
      <c r="BJ30" s="633"/>
      <c r="BK30" s="633"/>
      <c r="BL30" s="259">
        <f>'BPA Product '!AM30</f>
        <v>0</v>
      </c>
      <c r="BM30" s="259">
        <f t="shared" si="32"/>
        <v>-2.9842794901924208E-12</v>
      </c>
      <c r="BN30" s="258"/>
      <c r="BO30" s="259">
        <f t="shared" si="33"/>
        <v>1044.0000000000009</v>
      </c>
      <c r="BP30" s="259">
        <f t="shared" si="34"/>
        <v>0</v>
      </c>
      <c r="BQ30" s="637"/>
      <c r="BR30" s="636"/>
      <c r="BS30" s="259">
        <f>'BPA Product '!AO30</f>
        <v>522</v>
      </c>
      <c r="BT30" s="259">
        <f t="shared" si="59"/>
        <v>522.00000000000091</v>
      </c>
      <c r="BU30" s="258"/>
      <c r="BV30" s="1161">
        <f t="shared" si="36"/>
        <v>0</v>
      </c>
      <c r="BW30" s="259">
        <f t="shared" si="1"/>
        <v>0</v>
      </c>
      <c r="BX30" s="637"/>
      <c r="BY30" s="636"/>
      <c r="BZ30" s="685">
        <f>'BPA Product '!AP30</f>
        <v>0</v>
      </c>
      <c r="CA30" s="259">
        <f t="shared" si="2"/>
        <v>0</v>
      </c>
      <c r="CB30" s="258"/>
      <c r="CC30" s="810">
        <f t="shared" si="37"/>
        <v>75</v>
      </c>
      <c r="CD30" s="810">
        <f t="shared" si="38"/>
        <v>0</v>
      </c>
      <c r="CE30" s="811"/>
      <c r="CF30" s="811"/>
      <c r="CG30" s="498">
        <f>'BPA Product '!AN30</f>
        <v>15</v>
      </c>
      <c r="CH30" s="810">
        <f t="shared" si="39"/>
        <v>60</v>
      </c>
      <c r="CI30" s="258"/>
      <c r="CJ30" s="810">
        <f t="shared" si="40"/>
        <v>0</v>
      </c>
      <c r="CK30" s="810">
        <f t="shared" si="3"/>
        <v>0</v>
      </c>
      <c r="CL30" s="811"/>
      <c r="CM30" s="811"/>
      <c r="CN30" s="498">
        <f>'BPA Product '!AS30</f>
        <v>0</v>
      </c>
      <c r="CO30" s="810">
        <f t="shared" si="41"/>
        <v>0</v>
      </c>
      <c r="CP30" s="258"/>
      <c r="CQ30" s="810">
        <f t="shared" si="42"/>
        <v>136.79999999999998</v>
      </c>
      <c r="CR30" s="810">
        <f t="shared" si="4"/>
        <v>0</v>
      </c>
      <c r="CS30" s="811"/>
      <c r="CT30" s="811"/>
      <c r="CU30" s="811"/>
      <c r="CV30" s="498">
        <f>'BPA Product '!AV30</f>
        <v>0</v>
      </c>
      <c r="CW30" s="259">
        <f t="shared" si="43"/>
        <v>136.79999999999998</v>
      </c>
      <c r="CX30" s="258"/>
      <c r="CY30" s="810">
        <f t="shared" si="44"/>
        <v>0</v>
      </c>
      <c r="CZ30" s="810"/>
      <c r="DA30" s="811"/>
      <c r="DB30" s="811"/>
      <c r="DC30" s="811"/>
      <c r="DD30" s="498">
        <f>'BPA Product '!AW30</f>
        <v>0</v>
      </c>
      <c r="DE30" s="259">
        <f t="shared" si="45"/>
        <v>0</v>
      </c>
      <c r="DF30" s="258"/>
      <c r="DG30" s="259">
        <f t="shared" si="46"/>
        <v>0</v>
      </c>
      <c r="DH30" s="260">
        <f t="shared" si="5"/>
        <v>0</v>
      </c>
      <c r="DI30" s="631"/>
      <c r="DJ30" s="639"/>
      <c r="DK30" s="260">
        <f>'BPA Product '!AX30</f>
        <v>0</v>
      </c>
      <c r="DL30" s="259">
        <f t="shared" si="47"/>
        <v>0</v>
      </c>
      <c r="DM30" s="258"/>
      <c r="DN30" s="259">
        <f t="shared" si="48"/>
        <v>66.599999999999994</v>
      </c>
      <c r="DO30" s="260">
        <f t="shared" si="6"/>
        <v>171</v>
      </c>
      <c r="DP30" s="633"/>
      <c r="DQ30" s="1358"/>
      <c r="DR30" s="260">
        <f>'BPA Product '!AY30</f>
        <v>0</v>
      </c>
      <c r="DS30" s="259">
        <f t="shared" si="49"/>
        <v>237.6</v>
      </c>
      <c r="DT30" s="258"/>
      <c r="DU30" s="259">
        <f t="shared" si="50"/>
        <v>-1.7763568394002505E-14</v>
      </c>
      <c r="DV30" s="260">
        <f t="shared" si="7"/>
        <v>0</v>
      </c>
      <c r="DW30" s="631"/>
      <c r="DX30" s="639"/>
      <c r="DY30" s="260">
        <f>'BPA Product '!AZ30</f>
        <v>0</v>
      </c>
      <c r="DZ30" s="259">
        <f t="shared" si="51"/>
        <v>-1.7763568394002505E-14</v>
      </c>
      <c r="EA30" s="258"/>
      <c r="EB30" s="263">
        <f t="shared" si="52"/>
        <v>0</v>
      </c>
      <c r="EC30" s="263">
        <f t="shared" si="8"/>
        <v>0</v>
      </c>
      <c r="ED30" s="639"/>
      <c r="EE30" s="639"/>
      <c r="EF30" s="263">
        <f>'BPA Product '!BA30</f>
        <v>0</v>
      </c>
      <c r="EG30" s="685">
        <f t="shared" si="53"/>
        <v>0</v>
      </c>
      <c r="EH30" s="258"/>
      <c r="EI30" s="263">
        <f t="shared" si="54"/>
        <v>0</v>
      </c>
      <c r="EJ30" s="263">
        <f t="shared" si="9"/>
        <v>0</v>
      </c>
      <c r="EK30" s="639"/>
      <c r="EL30" s="639"/>
      <c r="EM30" s="263">
        <f>'BPA Product '!BB30</f>
        <v>0</v>
      </c>
      <c r="EN30" s="685">
        <f t="shared" si="55"/>
        <v>0</v>
      </c>
      <c r="EO30" s="258"/>
      <c r="EP30" s="685">
        <f t="shared" si="56"/>
        <v>0</v>
      </c>
      <c r="EQ30" s="663">
        <f t="shared" si="10"/>
        <v>0</v>
      </c>
      <c r="ER30" s="664"/>
      <c r="ES30" s="664"/>
      <c r="ET30" s="809">
        <f>'BPA Product '!BC30</f>
        <v>0</v>
      </c>
      <c r="EU30" s="685">
        <f t="shared" si="57"/>
        <v>0</v>
      </c>
      <c r="EV30" s="258"/>
    </row>
    <row r="31" spans="1:152">
      <c r="A31" s="257">
        <f t="shared" si="58"/>
        <v>43825</v>
      </c>
      <c r="B31" s="261">
        <f t="shared" si="11"/>
        <v>0</v>
      </c>
      <c r="C31" s="501">
        <f>'BPA Product '!L31+'BPA Product '!O31-D31</f>
        <v>229.82999999999998</v>
      </c>
      <c r="D31" s="267">
        <f t="shared" si="12"/>
        <v>0</v>
      </c>
      <c r="E31" s="812">
        <f t="shared" si="13"/>
        <v>229.82999999999998</v>
      </c>
      <c r="F31" s="259">
        <f>'BPA Product '!Q31</f>
        <v>0</v>
      </c>
      <c r="G31" s="259">
        <f>'BPA Product '!R31</f>
        <v>0</v>
      </c>
      <c r="H31" s="543">
        <f>'BPA Product '!S31</f>
        <v>0</v>
      </c>
      <c r="I31" s="630">
        <f>'BPA Product '!U31</f>
        <v>140.4</v>
      </c>
      <c r="J31" s="630">
        <f>'BPA Product '!V31</f>
        <v>0</v>
      </c>
      <c r="K31" s="630">
        <f>'BPA Product '!X31</f>
        <v>0</v>
      </c>
      <c r="L31" s="543">
        <f>'BPA Product '!AG31</f>
        <v>0</v>
      </c>
      <c r="M31" s="543">
        <f>'BPA Product '!AF31</f>
        <v>0</v>
      </c>
      <c r="N31" s="543">
        <f>'BPA Product '!T31</f>
        <v>0</v>
      </c>
      <c r="O31" s="498">
        <f>'BPA Product '!AH31+'BPA Product '!AI31</f>
        <v>89.43</v>
      </c>
      <c r="P31" s="498"/>
      <c r="Q31" s="259">
        <f t="shared" si="14"/>
        <v>-2.8421709430404007E-14</v>
      </c>
      <c r="R31" s="360"/>
      <c r="S31" s="498">
        <f t="shared" si="15"/>
        <v>315.60999999999956</v>
      </c>
      <c r="T31" s="498">
        <f t="shared" si="16"/>
        <v>89.43</v>
      </c>
      <c r="U31" s="508">
        <f>'BPA Product '!BD31+'BPA Product '!BE31</f>
        <v>135.26</v>
      </c>
      <c r="V31" s="508">
        <f>'BPA Product '!AJ31</f>
        <v>0</v>
      </c>
      <c r="W31" s="498">
        <f t="shared" si="17"/>
        <v>269.77999999999957</v>
      </c>
      <c r="X31" s="507"/>
      <c r="Y31" s="259">
        <f t="shared" si="18"/>
        <v>0</v>
      </c>
      <c r="Z31" s="259">
        <f>'BPA Product '!M31</f>
        <v>100.8</v>
      </c>
      <c r="AA31" s="260">
        <f>'BPA Product '!Y31</f>
        <v>0</v>
      </c>
      <c r="AB31" s="260">
        <f>'BPA Product '!Z31</f>
        <v>100.8</v>
      </c>
      <c r="AC31" s="260">
        <f>'BPA Product '!AA31</f>
        <v>0</v>
      </c>
      <c r="AD31" s="259">
        <f t="shared" si="19"/>
        <v>0</v>
      </c>
      <c r="AE31" s="360"/>
      <c r="AF31" s="259">
        <f t="shared" si="20"/>
        <v>0</v>
      </c>
      <c r="AG31" s="259">
        <f>'BPA Product '!N31</f>
        <v>0</v>
      </c>
      <c r="AH31" s="260">
        <f>'BPA Product '!AB31</f>
        <v>0</v>
      </c>
      <c r="AI31" s="260">
        <f>'BPA Product '!AC31</f>
        <v>0</v>
      </c>
      <c r="AJ31" s="260">
        <f>'BPA Product '!AD31</f>
        <v>0</v>
      </c>
      <c r="AK31" s="259">
        <f t="shared" si="21"/>
        <v>0</v>
      </c>
      <c r="AL31" s="258"/>
      <c r="AM31" s="259">
        <f t="shared" si="22"/>
        <v>90</v>
      </c>
      <c r="AN31" s="259">
        <f t="shared" si="23"/>
        <v>140.4</v>
      </c>
      <c r="AO31" s="633"/>
      <c r="AP31" s="633"/>
      <c r="AQ31" s="259">
        <f>'BPA Product '!AQ31</f>
        <v>0</v>
      </c>
      <c r="AR31" s="259">
        <f t="shared" si="24"/>
        <v>230.4</v>
      </c>
      <c r="AS31" s="258"/>
      <c r="AT31" s="259">
        <f t="shared" si="25"/>
        <v>522.00000000000637</v>
      </c>
      <c r="AU31" s="259">
        <f t="shared" si="26"/>
        <v>0</v>
      </c>
      <c r="AV31" s="1363"/>
      <c r="AW31" s="1363"/>
      <c r="AX31" s="259">
        <f>'BPA Product '!AR31</f>
        <v>0</v>
      </c>
      <c r="AY31" s="259">
        <f t="shared" si="27"/>
        <v>522.00000000000637</v>
      </c>
      <c r="AZ31" s="258"/>
      <c r="BA31" s="260">
        <f t="shared" si="28"/>
        <v>0</v>
      </c>
      <c r="BB31" s="259">
        <f t="shared" si="29"/>
        <v>0</v>
      </c>
      <c r="BC31" s="637"/>
      <c r="BD31" s="636"/>
      <c r="BE31" s="685">
        <f>'BPA Product '!AS31</f>
        <v>0</v>
      </c>
      <c r="BF31" s="259">
        <f t="shared" si="30"/>
        <v>0</v>
      </c>
      <c r="BG31" s="258"/>
      <c r="BH31" s="259">
        <f t="shared" si="31"/>
        <v>-2.9842794901924208E-12</v>
      </c>
      <c r="BI31" s="259">
        <f t="shared" si="0"/>
        <v>0</v>
      </c>
      <c r="BJ31" s="633"/>
      <c r="BK31" s="633"/>
      <c r="BL31" s="259">
        <f>'BPA Product '!AM31</f>
        <v>0</v>
      </c>
      <c r="BM31" s="259">
        <f t="shared" si="32"/>
        <v>-2.9842794901924208E-12</v>
      </c>
      <c r="BN31" s="258"/>
      <c r="BO31" s="259">
        <f t="shared" si="33"/>
        <v>522.00000000000091</v>
      </c>
      <c r="BP31" s="259">
        <f t="shared" si="34"/>
        <v>0</v>
      </c>
      <c r="BQ31" s="637"/>
      <c r="BR31" s="636"/>
      <c r="BS31" s="259">
        <f>'BPA Product '!AO31</f>
        <v>522</v>
      </c>
      <c r="BT31" s="259">
        <f t="shared" si="59"/>
        <v>9.0949470177292824E-13</v>
      </c>
      <c r="BU31" s="258"/>
      <c r="BV31" s="1161">
        <f t="shared" si="36"/>
        <v>0</v>
      </c>
      <c r="BW31" s="259">
        <f t="shared" si="1"/>
        <v>0</v>
      </c>
      <c r="BX31" s="637"/>
      <c r="BY31" s="636"/>
      <c r="BZ31" s="685">
        <f>'BPA Product '!AP31</f>
        <v>0</v>
      </c>
      <c r="CA31" s="259">
        <f t="shared" si="2"/>
        <v>0</v>
      </c>
      <c r="CB31" s="258"/>
      <c r="CC31" s="810">
        <f t="shared" si="37"/>
        <v>60</v>
      </c>
      <c r="CD31" s="810">
        <f t="shared" si="38"/>
        <v>0</v>
      </c>
      <c r="CE31" s="811"/>
      <c r="CF31" s="811"/>
      <c r="CG31" s="498">
        <f>'BPA Product '!AN31</f>
        <v>0</v>
      </c>
      <c r="CH31" s="810">
        <f t="shared" si="39"/>
        <v>60</v>
      </c>
      <c r="CI31" s="258"/>
      <c r="CJ31" s="810">
        <f t="shared" si="40"/>
        <v>0</v>
      </c>
      <c r="CK31" s="810">
        <f t="shared" si="3"/>
        <v>0</v>
      </c>
      <c r="CL31" s="811"/>
      <c r="CM31" s="811"/>
      <c r="CN31" s="498">
        <f>'BPA Product '!AS31</f>
        <v>0</v>
      </c>
      <c r="CO31" s="810">
        <f t="shared" si="41"/>
        <v>0</v>
      </c>
      <c r="CP31" s="258"/>
      <c r="CQ31" s="810">
        <f t="shared" si="42"/>
        <v>136.79999999999998</v>
      </c>
      <c r="CR31" s="810">
        <f t="shared" si="4"/>
        <v>0</v>
      </c>
      <c r="CS31" s="811"/>
      <c r="CT31" s="811"/>
      <c r="CU31" s="811"/>
      <c r="CV31" s="498">
        <f>'BPA Product '!AV31</f>
        <v>0</v>
      </c>
      <c r="CW31" s="259">
        <f t="shared" si="43"/>
        <v>136.79999999999998</v>
      </c>
      <c r="CX31" s="258"/>
      <c r="CY31" s="810">
        <f t="shared" si="44"/>
        <v>0</v>
      </c>
      <c r="CZ31" s="810"/>
      <c r="DA31" s="811"/>
      <c r="DB31" s="811"/>
      <c r="DC31" s="811"/>
      <c r="DD31" s="498">
        <f>'BPA Product '!AW31</f>
        <v>0</v>
      </c>
      <c r="DE31" s="259">
        <f t="shared" si="45"/>
        <v>0</v>
      </c>
      <c r="DF31" s="258"/>
      <c r="DG31" s="259">
        <f t="shared" si="46"/>
        <v>0</v>
      </c>
      <c r="DH31" s="260">
        <f t="shared" si="5"/>
        <v>0</v>
      </c>
      <c r="DI31" s="631"/>
      <c r="DJ31" s="639"/>
      <c r="DK31" s="260">
        <f>'BPA Product '!AX31</f>
        <v>0</v>
      </c>
      <c r="DL31" s="259">
        <f t="shared" si="47"/>
        <v>0</v>
      </c>
      <c r="DM31" s="258"/>
      <c r="DN31" s="259">
        <f t="shared" si="48"/>
        <v>237.6</v>
      </c>
      <c r="DO31" s="260">
        <f t="shared" si="6"/>
        <v>100.8</v>
      </c>
      <c r="DP31" s="633"/>
      <c r="DQ31" s="1358"/>
      <c r="DR31" s="260">
        <f>'BPA Product '!AY31</f>
        <v>0</v>
      </c>
      <c r="DS31" s="259">
        <f t="shared" si="49"/>
        <v>338.4</v>
      </c>
      <c r="DT31" s="258"/>
      <c r="DU31" s="259">
        <f t="shared" si="50"/>
        <v>-1.7763568394002505E-14</v>
      </c>
      <c r="DV31" s="260">
        <f t="shared" si="7"/>
        <v>0</v>
      </c>
      <c r="DW31" s="631"/>
      <c r="DX31" s="639"/>
      <c r="DY31" s="260">
        <f>'BPA Product '!AZ31</f>
        <v>0</v>
      </c>
      <c r="DZ31" s="259">
        <f t="shared" si="51"/>
        <v>-1.7763568394002505E-14</v>
      </c>
      <c r="EA31" s="258"/>
      <c r="EB31" s="263">
        <f t="shared" si="52"/>
        <v>0</v>
      </c>
      <c r="EC31" s="263">
        <f t="shared" si="8"/>
        <v>0</v>
      </c>
      <c r="ED31" s="639"/>
      <c r="EE31" s="639"/>
      <c r="EF31" s="263">
        <f>'BPA Product '!BA31</f>
        <v>0</v>
      </c>
      <c r="EG31" s="685">
        <f t="shared" si="53"/>
        <v>0</v>
      </c>
      <c r="EH31" s="258"/>
      <c r="EI31" s="263">
        <f t="shared" si="54"/>
        <v>0</v>
      </c>
      <c r="EJ31" s="263">
        <f t="shared" si="9"/>
        <v>0</v>
      </c>
      <c r="EK31" s="639"/>
      <c r="EL31" s="639"/>
      <c r="EM31" s="263">
        <f>'BPA Product '!BB31</f>
        <v>0</v>
      </c>
      <c r="EN31" s="685">
        <f t="shared" si="55"/>
        <v>0</v>
      </c>
      <c r="EO31" s="258"/>
      <c r="EP31" s="685">
        <f t="shared" si="56"/>
        <v>0</v>
      </c>
      <c r="EQ31" s="663">
        <f t="shared" si="10"/>
        <v>0</v>
      </c>
      <c r="ER31" s="664"/>
      <c r="ES31" s="664"/>
      <c r="ET31" s="809">
        <f>'BPA Product '!BC31</f>
        <v>0</v>
      </c>
      <c r="EU31" s="685">
        <f t="shared" si="57"/>
        <v>0</v>
      </c>
      <c r="EV31" s="258"/>
    </row>
    <row r="32" spans="1:152">
      <c r="A32" s="257">
        <f t="shared" si="58"/>
        <v>43826</v>
      </c>
      <c r="B32" s="261">
        <f t="shared" si="11"/>
        <v>-2.8421709430404007E-14</v>
      </c>
      <c r="C32" s="501">
        <f>'BPA Product '!L32+'BPA Product '!O32-D32</f>
        <v>385.33</v>
      </c>
      <c r="D32" s="267">
        <f t="shared" si="12"/>
        <v>0</v>
      </c>
      <c r="E32" s="812">
        <f t="shared" si="13"/>
        <v>385.33</v>
      </c>
      <c r="F32" s="259">
        <f>'BPA Product '!Q32</f>
        <v>0</v>
      </c>
      <c r="G32" s="259">
        <f>'BPA Product '!R32</f>
        <v>0</v>
      </c>
      <c r="H32" s="543">
        <f>'BPA Product '!S32</f>
        <v>0</v>
      </c>
      <c r="I32" s="630">
        <f>'BPA Product '!U32</f>
        <v>117</v>
      </c>
      <c r="J32" s="630">
        <f>'BPA Product '!V32</f>
        <v>0</v>
      </c>
      <c r="K32" s="630">
        <f>'BPA Product '!X32</f>
        <v>0</v>
      </c>
      <c r="L32" s="543">
        <f>'BPA Product '!AG32</f>
        <v>0</v>
      </c>
      <c r="M32" s="543">
        <f>'BPA Product '!AF32</f>
        <v>0</v>
      </c>
      <c r="N32" s="543">
        <f>'BPA Product '!T32</f>
        <v>0</v>
      </c>
      <c r="O32" s="498">
        <f>'BPA Product '!AH32+'BPA Product '!AI32</f>
        <v>268.33</v>
      </c>
      <c r="P32" s="498"/>
      <c r="Q32" s="259">
        <f t="shared" si="14"/>
        <v>-5.6843418860808015E-14</v>
      </c>
      <c r="R32" s="360"/>
      <c r="S32" s="498">
        <f t="shared" si="15"/>
        <v>269.77999999999957</v>
      </c>
      <c r="T32" s="498">
        <f t="shared" si="16"/>
        <v>268.33</v>
      </c>
      <c r="U32" s="508">
        <f>'BPA Product '!BD32+'BPA Product '!BE32</f>
        <v>134.86000000000001</v>
      </c>
      <c r="V32" s="508">
        <f>'BPA Product '!AJ32</f>
        <v>0</v>
      </c>
      <c r="W32" s="498">
        <f t="shared" si="17"/>
        <v>403.24999999999955</v>
      </c>
      <c r="X32" s="507"/>
      <c r="Y32" s="259">
        <f t="shared" si="18"/>
        <v>0</v>
      </c>
      <c r="Z32" s="259">
        <f>'BPA Product '!M32</f>
        <v>0</v>
      </c>
      <c r="AA32" s="260">
        <f>'BPA Product '!Y32</f>
        <v>0</v>
      </c>
      <c r="AB32" s="260">
        <f>'BPA Product '!Z32</f>
        <v>0</v>
      </c>
      <c r="AC32" s="260">
        <f>'BPA Product '!AA32</f>
        <v>0</v>
      </c>
      <c r="AD32" s="259">
        <f t="shared" si="19"/>
        <v>0</v>
      </c>
      <c r="AE32" s="360"/>
      <c r="AF32" s="259">
        <f t="shared" si="20"/>
        <v>0</v>
      </c>
      <c r="AG32" s="259">
        <f>'BPA Product '!N32</f>
        <v>0</v>
      </c>
      <c r="AH32" s="260">
        <f>'BPA Product '!AB32</f>
        <v>0</v>
      </c>
      <c r="AI32" s="260">
        <f>'BPA Product '!AC32</f>
        <v>0</v>
      </c>
      <c r="AJ32" s="260">
        <f>'BPA Product '!AD32</f>
        <v>0</v>
      </c>
      <c r="AK32" s="259">
        <f t="shared" si="21"/>
        <v>0</v>
      </c>
      <c r="AL32" s="258"/>
      <c r="AM32" s="259">
        <f t="shared" si="22"/>
        <v>230.4</v>
      </c>
      <c r="AN32" s="259">
        <f t="shared" si="23"/>
        <v>117</v>
      </c>
      <c r="AO32" s="633"/>
      <c r="AP32" s="633"/>
      <c r="AQ32" s="259">
        <f>'BPA Product '!AQ32</f>
        <v>0</v>
      </c>
      <c r="AR32" s="259">
        <f t="shared" si="24"/>
        <v>347.4</v>
      </c>
      <c r="AS32" s="258"/>
      <c r="AT32" s="259">
        <f t="shared" si="25"/>
        <v>522.00000000000637</v>
      </c>
      <c r="AU32" s="259">
        <f t="shared" si="26"/>
        <v>0</v>
      </c>
      <c r="AV32" s="1363"/>
      <c r="AW32" s="1363"/>
      <c r="AX32" s="259">
        <f>'BPA Product '!AR32</f>
        <v>522</v>
      </c>
      <c r="AY32" s="259">
        <f t="shared" si="27"/>
        <v>6.3664629124104977E-12</v>
      </c>
      <c r="AZ32" s="258"/>
      <c r="BA32" s="260">
        <f t="shared" si="28"/>
        <v>0</v>
      </c>
      <c r="BB32" s="259">
        <f t="shared" si="29"/>
        <v>0</v>
      </c>
      <c r="BC32" s="637"/>
      <c r="BD32" s="636"/>
      <c r="BE32" s="685">
        <f>'BPA Product '!AS32</f>
        <v>0</v>
      </c>
      <c r="BF32" s="259">
        <f t="shared" si="30"/>
        <v>0</v>
      </c>
      <c r="BG32" s="258"/>
      <c r="BH32" s="259">
        <f t="shared" si="31"/>
        <v>-2.9842794901924208E-12</v>
      </c>
      <c r="BI32" s="259">
        <f t="shared" si="0"/>
        <v>0</v>
      </c>
      <c r="BJ32" s="633"/>
      <c r="BK32" s="633"/>
      <c r="BL32" s="259">
        <f>'BPA Product '!AM32</f>
        <v>0</v>
      </c>
      <c r="BM32" s="259">
        <f t="shared" si="32"/>
        <v>-2.9842794901924208E-12</v>
      </c>
      <c r="BN32" s="258"/>
      <c r="BO32" s="259">
        <f t="shared" si="33"/>
        <v>9.0949470177292824E-13</v>
      </c>
      <c r="BP32" s="259">
        <f t="shared" si="34"/>
        <v>0</v>
      </c>
      <c r="BQ32" s="637"/>
      <c r="BR32" s="636"/>
      <c r="BS32" s="259">
        <f>'BPA Product '!AO32</f>
        <v>0</v>
      </c>
      <c r="BT32" s="259">
        <f t="shared" si="59"/>
        <v>9.0949470177292824E-13</v>
      </c>
      <c r="BU32" s="258"/>
      <c r="BV32" s="1161">
        <f t="shared" si="36"/>
        <v>0</v>
      </c>
      <c r="BW32" s="259">
        <f t="shared" si="1"/>
        <v>0</v>
      </c>
      <c r="BX32" s="637"/>
      <c r="BY32" s="636"/>
      <c r="BZ32" s="685">
        <f>'BPA Product '!AP32</f>
        <v>0</v>
      </c>
      <c r="CA32" s="259">
        <f t="shared" si="2"/>
        <v>0</v>
      </c>
      <c r="CB32" s="258"/>
      <c r="CC32" s="810">
        <f t="shared" si="37"/>
        <v>60</v>
      </c>
      <c r="CD32" s="810">
        <f t="shared" si="38"/>
        <v>0</v>
      </c>
      <c r="CE32" s="811"/>
      <c r="CF32" s="811"/>
      <c r="CG32" s="498">
        <f>'BPA Product '!AN32</f>
        <v>0</v>
      </c>
      <c r="CH32" s="810">
        <f t="shared" si="39"/>
        <v>60</v>
      </c>
      <c r="CI32" s="258"/>
      <c r="CJ32" s="810">
        <f t="shared" si="40"/>
        <v>0</v>
      </c>
      <c r="CK32" s="810">
        <f t="shared" si="3"/>
        <v>0</v>
      </c>
      <c r="CL32" s="811"/>
      <c r="CM32" s="811"/>
      <c r="CN32" s="498">
        <f>'BPA Product '!AS32</f>
        <v>0</v>
      </c>
      <c r="CO32" s="810">
        <f t="shared" si="41"/>
        <v>0</v>
      </c>
      <c r="CP32" s="258"/>
      <c r="CQ32" s="810">
        <f t="shared" si="42"/>
        <v>136.79999999999998</v>
      </c>
      <c r="CR32" s="810">
        <f t="shared" si="4"/>
        <v>0</v>
      </c>
      <c r="CS32" s="811"/>
      <c r="CT32" s="811"/>
      <c r="CU32" s="811"/>
      <c r="CV32" s="498">
        <f>'BPA Product '!AV32</f>
        <v>0</v>
      </c>
      <c r="CW32" s="259">
        <f t="shared" si="43"/>
        <v>136.79999999999998</v>
      </c>
      <c r="CX32" s="258"/>
      <c r="CY32" s="810">
        <f t="shared" si="44"/>
        <v>0</v>
      </c>
      <c r="CZ32" s="810"/>
      <c r="DA32" s="811"/>
      <c r="DB32" s="811"/>
      <c r="DC32" s="811"/>
      <c r="DD32" s="498">
        <f>'BPA Product '!AW32</f>
        <v>0</v>
      </c>
      <c r="DE32" s="259">
        <f t="shared" si="45"/>
        <v>0</v>
      </c>
      <c r="DF32" s="258"/>
      <c r="DG32" s="259">
        <f t="shared" si="46"/>
        <v>0</v>
      </c>
      <c r="DH32" s="260">
        <f t="shared" si="5"/>
        <v>0</v>
      </c>
      <c r="DI32" s="631"/>
      <c r="DJ32" s="639"/>
      <c r="DK32" s="260">
        <f>'BPA Product '!AX32</f>
        <v>0</v>
      </c>
      <c r="DL32" s="259">
        <f t="shared" si="47"/>
        <v>0</v>
      </c>
      <c r="DM32" s="258"/>
      <c r="DN32" s="259">
        <f t="shared" si="48"/>
        <v>338.4</v>
      </c>
      <c r="DO32" s="260">
        <f t="shared" si="6"/>
        <v>0</v>
      </c>
      <c r="DP32" s="633"/>
      <c r="DQ32" s="1358"/>
      <c r="DR32" s="260">
        <f>'BPA Product '!AY32</f>
        <v>0</v>
      </c>
      <c r="DS32" s="259">
        <f t="shared" si="49"/>
        <v>338.4</v>
      </c>
      <c r="DT32" s="258"/>
      <c r="DU32" s="259">
        <f t="shared" si="50"/>
        <v>-1.7763568394002505E-14</v>
      </c>
      <c r="DV32" s="260">
        <f t="shared" si="7"/>
        <v>0</v>
      </c>
      <c r="DW32" s="631"/>
      <c r="DX32" s="639"/>
      <c r="DY32" s="260">
        <f>'BPA Product '!AZ32</f>
        <v>0</v>
      </c>
      <c r="DZ32" s="259">
        <f t="shared" si="51"/>
        <v>-1.7763568394002505E-14</v>
      </c>
      <c r="EA32" s="258"/>
      <c r="EB32" s="263">
        <f t="shared" si="52"/>
        <v>0</v>
      </c>
      <c r="EC32" s="263">
        <f t="shared" si="8"/>
        <v>0</v>
      </c>
      <c r="ED32" s="639"/>
      <c r="EE32" s="639"/>
      <c r="EF32" s="263">
        <f>'BPA Product '!BA32</f>
        <v>0</v>
      </c>
      <c r="EG32" s="685">
        <f t="shared" si="53"/>
        <v>0</v>
      </c>
      <c r="EH32" s="258"/>
      <c r="EI32" s="263">
        <f t="shared" si="54"/>
        <v>0</v>
      </c>
      <c r="EJ32" s="263">
        <f t="shared" si="9"/>
        <v>0</v>
      </c>
      <c r="EK32" s="639"/>
      <c r="EL32" s="639"/>
      <c r="EM32" s="263">
        <f>'BPA Product '!BB32</f>
        <v>0</v>
      </c>
      <c r="EN32" s="685">
        <f t="shared" si="55"/>
        <v>0</v>
      </c>
      <c r="EO32" s="258"/>
      <c r="EP32" s="685">
        <f t="shared" si="56"/>
        <v>0</v>
      </c>
      <c r="EQ32" s="663">
        <f t="shared" si="10"/>
        <v>0</v>
      </c>
      <c r="ER32" s="664"/>
      <c r="ES32" s="664"/>
      <c r="ET32" s="809">
        <f>'BPA Product '!BC32</f>
        <v>0</v>
      </c>
      <c r="EU32" s="685">
        <f t="shared" si="57"/>
        <v>0</v>
      </c>
      <c r="EV32" s="258"/>
    </row>
    <row r="33" spans="1:16383">
      <c r="A33" s="257">
        <f t="shared" si="58"/>
        <v>43827</v>
      </c>
      <c r="B33" s="261">
        <f t="shared" si="11"/>
        <v>-5.6843418860808015E-14</v>
      </c>
      <c r="C33" s="501">
        <f>'BPA Product '!L33+'BPA Product '!O33-D33</f>
        <v>506.7</v>
      </c>
      <c r="D33" s="267">
        <f t="shared" si="12"/>
        <v>0</v>
      </c>
      <c r="E33" s="812">
        <f t="shared" si="13"/>
        <v>506.7</v>
      </c>
      <c r="F33" s="259">
        <f>'BPA Product '!Q33</f>
        <v>18</v>
      </c>
      <c r="G33" s="685">
        <f>'BPA Product '!R33</f>
        <v>0</v>
      </c>
      <c r="H33" s="543">
        <f>'BPA Product '!S33</f>
        <v>0</v>
      </c>
      <c r="I33" s="630">
        <f>'BPA Product '!U33</f>
        <v>358.2</v>
      </c>
      <c r="J33" s="630">
        <f>'BPA Product '!V33</f>
        <v>126</v>
      </c>
      <c r="K33" s="630">
        <f>'BPA Product '!X33</f>
        <v>0</v>
      </c>
      <c r="L33" s="543">
        <f>'BPA Product '!AG33</f>
        <v>0</v>
      </c>
      <c r="M33" s="543">
        <f>'BPA Product '!AF33</f>
        <v>4.5</v>
      </c>
      <c r="N33" s="543">
        <f>'BPA Product '!T33</f>
        <v>0</v>
      </c>
      <c r="O33" s="498">
        <f>'BPA Product '!AH33+'BPA Product '!AI33</f>
        <v>0</v>
      </c>
      <c r="P33" s="498"/>
      <c r="Q33" s="259">
        <f t="shared" si="14"/>
        <v>-5.6843418860808015E-14</v>
      </c>
      <c r="R33" s="360"/>
      <c r="S33" s="498">
        <f t="shared" si="15"/>
        <v>403.24999999999955</v>
      </c>
      <c r="T33" s="498">
        <f t="shared" si="16"/>
        <v>0</v>
      </c>
      <c r="U33" s="508">
        <f>'BPA Product '!BD33+'BPA Product '!BE33</f>
        <v>134.91999999999999</v>
      </c>
      <c r="V33" s="508">
        <f>'BPA Product '!AJ33</f>
        <v>0</v>
      </c>
      <c r="W33" s="498">
        <f t="shared" si="17"/>
        <v>268.32999999999959</v>
      </c>
      <c r="X33" s="507"/>
      <c r="Y33" s="259">
        <f t="shared" si="18"/>
        <v>0</v>
      </c>
      <c r="Z33" s="259">
        <f>'BPA Product '!M33</f>
        <v>0</v>
      </c>
      <c r="AA33" s="260">
        <f>'BPA Product '!Y33</f>
        <v>0</v>
      </c>
      <c r="AB33" s="260">
        <f>'BPA Product '!Z33</f>
        <v>0</v>
      </c>
      <c r="AC33" s="260">
        <f>'BPA Product '!AA33</f>
        <v>0</v>
      </c>
      <c r="AD33" s="259">
        <f t="shared" si="19"/>
        <v>0</v>
      </c>
      <c r="AE33" s="360"/>
      <c r="AF33" s="259">
        <f t="shared" si="20"/>
        <v>0</v>
      </c>
      <c r="AG33" s="259">
        <f>'BPA Product '!N33</f>
        <v>0</v>
      </c>
      <c r="AH33" s="260">
        <f>'BPA Product '!AB33</f>
        <v>0</v>
      </c>
      <c r="AI33" s="260">
        <f>'BPA Product '!AC33</f>
        <v>0</v>
      </c>
      <c r="AJ33" s="260">
        <f>'BPA Product '!AD33</f>
        <v>0</v>
      </c>
      <c r="AK33" s="259">
        <f t="shared" si="21"/>
        <v>0</v>
      </c>
      <c r="AL33" s="258"/>
      <c r="AM33" s="259">
        <f t="shared" si="22"/>
        <v>347.4</v>
      </c>
      <c r="AN33" s="259">
        <f t="shared" si="23"/>
        <v>358.2</v>
      </c>
      <c r="AO33" s="633"/>
      <c r="AP33" s="633"/>
      <c r="AQ33" s="259">
        <f>'BPA Product '!AQ33</f>
        <v>0</v>
      </c>
      <c r="AR33" s="259">
        <f t="shared" si="24"/>
        <v>705.59999999999991</v>
      </c>
      <c r="AS33" s="258"/>
      <c r="AT33" s="259">
        <f t="shared" si="25"/>
        <v>6.3664629124104977E-12</v>
      </c>
      <c r="AU33" s="259">
        <f t="shared" si="26"/>
        <v>126</v>
      </c>
      <c r="AV33" s="1363"/>
      <c r="AW33" s="1363"/>
      <c r="AX33" s="259">
        <f>'BPA Product '!AR33</f>
        <v>0</v>
      </c>
      <c r="AY33" s="259">
        <f t="shared" si="27"/>
        <v>126.00000000000637</v>
      </c>
      <c r="AZ33" s="258"/>
      <c r="BA33" s="260">
        <f t="shared" si="28"/>
        <v>0</v>
      </c>
      <c r="BB33" s="259">
        <f t="shared" si="29"/>
        <v>0</v>
      </c>
      <c r="BC33" s="637"/>
      <c r="BD33" s="684"/>
      <c r="BE33" s="685">
        <f>'BPA Product '!AS33</f>
        <v>0</v>
      </c>
      <c r="BF33" s="259">
        <f t="shared" si="30"/>
        <v>0</v>
      </c>
      <c r="BG33" s="258"/>
      <c r="BH33" s="259">
        <f t="shared" si="31"/>
        <v>-2.9842794901924208E-12</v>
      </c>
      <c r="BI33" s="259">
        <f t="shared" si="0"/>
        <v>18</v>
      </c>
      <c r="BJ33" s="633"/>
      <c r="BK33" s="633"/>
      <c r="BL33" s="259">
        <f>'BPA Product '!AM33</f>
        <v>0</v>
      </c>
      <c r="BM33" s="259">
        <f t="shared" si="32"/>
        <v>17.999999999997016</v>
      </c>
      <c r="BN33" s="258"/>
      <c r="BO33" s="259">
        <f t="shared" si="33"/>
        <v>9.0949470177292824E-13</v>
      </c>
      <c r="BP33" s="259">
        <f t="shared" si="34"/>
        <v>0</v>
      </c>
      <c r="BQ33" s="637"/>
      <c r="BR33" s="684"/>
      <c r="BS33" s="259">
        <f>'BPA Product '!AO33</f>
        <v>0</v>
      </c>
      <c r="BT33" s="259">
        <f t="shared" si="59"/>
        <v>9.0949470177292824E-13</v>
      </c>
      <c r="BU33" s="258"/>
      <c r="BV33" s="1161">
        <f t="shared" si="36"/>
        <v>0</v>
      </c>
      <c r="BW33" s="259">
        <f t="shared" si="1"/>
        <v>0</v>
      </c>
      <c r="BX33" s="637"/>
      <c r="BY33" s="684"/>
      <c r="BZ33" s="685">
        <f>'BPA Product '!AP33</f>
        <v>0</v>
      </c>
      <c r="CA33" s="259">
        <f t="shared" si="2"/>
        <v>0</v>
      </c>
      <c r="CB33" s="258"/>
      <c r="CC33" s="810">
        <f t="shared" si="37"/>
        <v>60</v>
      </c>
      <c r="CD33" s="810">
        <f t="shared" si="38"/>
        <v>0</v>
      </c>
      <c r="CE33" s="811"/>
      <c r="CF33" s="811"/>
      <c r="CG33" s="498">
        <f>'BPA Product '!AN33</f>
        <v>0</v>
      </c>
      <c r="CH33" s="810">
        <f t="shared" si="39"/>
        <v>60</v>
      </c>
      <c r="CI33" s="258"/>
      <c r="CJ33" s="810">
        <f t="shared" si="40"/>
        <v>0</v>
      </c>
      <c r="CK33" s="810">
        <f t="shared" si="3"/>
        <v>0</v>
      </c>
      <c r="CL33" s="811"/>
      <c r="CM33" s="811"/>
      <c r="CN33" s="498">
        <f>'BPA Product '!AS33</f>
        <v>0</v>
      </c>
      <c r="CO33" s="810">
        <f t="shared" si="41"/>
        <v>0</v>
      </c>
      <c r="CP33" s="258"/>
      <c r="CQ33" s="810">
        <f t="shared" si="42"/>
        <v>136.79999999999998</v>
      </c>
      <c r="CR33" s="810">
        <f t="shared" si="4"/>
        <v>4.5</v>
      </c>
      <c r="CS33" s="811"/>
      <c r="CT33" s="811"/>
      <c r="CU33" s="811"/>
      <c r="CV33" s="498">
        <f>'BPA Product '!AV33</f>
        <v>0</v>
      </c>
      <c r="CW33" s="259">
        <f t="shared" si="43"/>
        <v>141.29999999999998</v>
      </c>
      <c r="CX33" s="258"/>
      <c r="CY33" s="810">
        <f t="shared" si="44"/>
        <v>0</v>
      </c>
      <c r="CZ33" s="810"/>
      <c r="DA33" s="811"/>
      <c r="DB33" s="811"/>
      <c r="DC33" s="811"/>
      <c r="DD33" s="498">
        <f>'BPA Product '!AW33</f>
        <v>0</v>
      </c>
      <c r="DE33" s="259">
        <f t="shared" si="45"/>
        <v>0</v>
      </c>
      <c r="DF33" s="258"/>
      <c r="DG33" s="259">
        <f t="shared" si="46"/>
        <v>0</v>
      </c>
      <c r="DH33" s="260">
        <f t="shared" si="5"/>
        <v>0</v>
      </c>
      <c r="DI33" s="631"/>
      <c r="DJ33" s="639"/>
      <c r="DK33" s="260">
        <f>'BPA Product '!AX33</f>
        <v>0</v>
      </c>
      <c r="DL33" s="259">
        <f t="shared" si="47"/>
        <v>0</v>
      </c>
      <c r="DM33" s="258"/>
      <c r="DN33" s="259">
        <f t="shared" si="48"/>
        <v>338.4</v>
      </c>
      <c r="DO33" s="260">
        <f t="shared" si="6"/>
        <v>0</v>
      </c>
      <c r="DP33" s="633"/>
      <c r="DQ33" s="1358"/>
      <c r="DR33" s="260">
        <f>'BPA Product '!AY33</f>
        <v>0</v>
      </c>
      <c r="DS33" s="259">
        <f t="shared" si="49"/>
        <v>338.4</v>
      </c>
      <c r="DT33" s="258"/>
      <c r="DU33" s="259">
        <f t="shared" si="50"/>
        <v>-1.7763568394002505E-14</v>
      </c>
      <c r="DV33" s="260">
        <f t="shared" si="7"/>
        <v>0</v>
      </c>
      <c r="DW33" s="631"/>
      <c r="DX33" s="639"/>
      <c r="DY33" s="260">
        <f>'BPA Product '!AZ33</f>
        <v>0</v>
      </c>
      <c r="DZ33" s="259">
        <f t="shared" si="51"/>
        <v>-1.7763568394002505E-14</v>
      </c>
      <c r="EA33" s="258"/>
      <c r="EB33" s="263">
        <f t="shared" si="52"/>
        <v>0</v>
      </c>
      <c r="EC33" s="263">
        <f t="shared" si="8"/>
        <v>0</v>
      </c>
      <c r="ED33" s="639"/>
      <c r="EE33" s="639"/>
      <c r="EF33" s="263">
        <f>'BPA Product '!BA33</f>
        <v>0</v>
      </c>
      <c r="EG33" s="685">
        <f t="shared" si="53"/>
        <v>0</v>
      </c>
      <c r="EH33" s="258"/>
      <c r="EI33" s="263">
        <f t="shared" si="54"/>
        <v>0</v>
      </c>
      <c r="EJ33" s="263">
        <f t="shared" si="9"/>
        <v>0</v>
      </c>
      <c r="EK33" s="639"/>
      <c r="EL33" s="639"/>
      <c r="EM33" s="263">
        <f>'BPA Product '!BB33</f>
        <v>0</v>
      </c>
      <c r="EN33" s="685">
        <f t="shared" si="55"/>
        <v>0</v>
      </c>
      <c r="EO33" s="258"/>
      <c r="EP33" s="685">
        <f t="shared" si="56"/>
        <v>0</v>
      </c>
      <c r="EQ33" s="663">
        <f t="shared" si="10"/>
        <v>0</v>
      </c>
      <c r="ER33" s="664"/>
      <c r="ES33" s="664"/>
      <c r="ET33" s="809">
        <f>'BPA Product '!BC33</f>
        <v>0</v>
      </c>
      <c r="EU33" s="685">
        <f t="shared" si="57"/>
        <v>0</v>
      </c>
      <c r="EV33" s="258"/>
    </row>
    <row r="34" spans="1:16383" s="152" customFormat="1">
      <c r="A34" s="257">
        <f t="shared" si="58"/>
        <v>43828</v>
      </c>
      <c r="B34" s="261">
        <f t="shared" ref="B34:B35" si="60">Q33</f>
        <v>-5.6843418860808015E-14</v>
      </c>
      <c r="C34" s="501">
        <f>'BPA Product '!L34+'BPA Product '!O34-D34</f>
        <v>460.63</v>
      </c>
      <c r="D34" s="267">
        <f t="shared" si="12"/>
        <v>0</v>
      </c>
      <c r="E34" s="812">
        <f t="shared" ref="E34:E35" si="61">D34+C34</f>
        <v>460.63</v>
      </c>
      <c r="F34" s="259">
        <f>'BPA Product '!Q34</f>
        <v>0</v>
      </c>
      <c r="G34" s="259">
        <f>'BPA Product '!R34</f>
        <v>0</v>
      </c>
      <c r="H34" s="543">
        <f>'BPA Product '!S34</f>
        <v>0</v>
      </c>
      <c r="I34" s="630">
        <f>'BPA Product '!U34</f>
        <v>0</v>
      </c>
      <c r="J34" s="630">
        <f>'BPA Product '!V34</f>
        <v>0</v>
      </c>
      <c r="K34" s="630">
        <f>'BPA Product '!X34</f>
        <v>0</v>
      </c>
      <c r="L34" s="543">
        <f>'BPA Product '!AG34</f>
        <v>0</v>
      </c>
      <c r="M34" s="543">
        <f>'BPA Product '!AF34</f>
        <v>0</v>
      </c>
      <c r="N34" s="543">
        <f>'BPA Product '!T34</f>
        <v>0</v>
      </c>
      <c r="O34" s="498">
        <f>'BPA Product '!AH34+'BPA Product '!AI34</f>
        <v>0</v>
      </c>
      <c r="P34" s="616"/>
      <c r="Q34" s="259">
        <f t="shared" si="14"/>
        <v>460.62999999999994</v>
      </c>
      <c r="R34" s="360"/>
      <c r="S34" s="498">
        <f t="shared" ref="S34:S35" si="62">W33</f>
        <v>268.32999999999959</v>
      </c>
      <c r="T34" s="498">
        <f t="shared" ref="T34:T35" si="63">O34</f>
        <v>0</v>
      </c>
      <c r="U34" s="508">
        <f>'BPA Product '!BD34+'BPA Product '!BE34</f>
        <v>0</v>
      </c>
      <c r="V34" s="508">
        <f>'BPA Product '!AJ34</f>
        <v>0</v>
      </c>
      <c r="W34" s="498">
        <f t="shared" ref="W34" si="64">S34+T34-U34-V34</f>
        <v>268.32999999999959</v>
      </c>
      <c r="X34" s="507"/>
      <c r="Y34" s="259">
        <f t="shared" si="18"/>
        <v>0</v>
      </c>
      <c r="Z34" s="259">
        <f>'BPA Product '!M34</f>
        <v>0</v>
      </c>
      <c r="AA34" s="260">
        <f>'BPA Product '!Y34</f>
        <v>0</v>
      </c>
      <c r="AB34" s="260">
        <f>'BPA Product '!Z34</f>
        <v>0</v>
      </c>
      <c r="AC34" s="260">
        <f>'BPA Product '!AA34</f>
        <v>0</v>
      </c>
      <c r="AD34" s="259">
        <f t="shared" si="19"/>
        <v>0</v>
      </c>
      <c r="AE34" s="360"/>
      <c r="AF34" s="259">
        <f t="shared" ref="AF34:AF36" si="65">AK33</f>
        <v>0</v>
      </c>
      <c r="AG34" s="259">
        <f>'BPA Product '!N34</f>
        <v>0</v>
      </c>
      <c r="AH34" s="260">
        <f>'BPA Product '!AB34</f>
        <v>0</v>
      </c>
      <c r="AI34" s="260">
        <f>'BPA Product '!AC34</f>
        <v>0</v>
      </c>
      <c r="AJ34" s="260">
        <f>'BPA Product '!AD34</f>
        <v>0</v>
      </c>
      <c r="AK34" s="259">
        <f t="shared" si="21"/>
        <v>0</v>
      </c>
      <c r="AL34" s="258"/>
      <c r="AM34" s="259">
        <f t="shared" si="22"/>
        <v>705.59999999999991</v>
      </c>
      <c r="AN34" s="259">
        <f t="shared" si="23"/>
        <v>0</v>
      </c>
      <c r="AO34" s="633"/>
      <c r="AP34" s="633"/>
      <c r="AQ34" s="259">
        <f>'BPA Product '!AQ34</f>
        <v>0</v>
      </c>
      <c r="AR34" s="259">
        <f t="shared" si="24"/>
        <v>705.59999999999991</v>
      </c>
      <c r="AS34" s="258"/>
      <c r="AT34" s="259">
        <f t="shared" si="25"/>
        <v>126.00000000000637</v>
      </c>
      <c r="AU34" s="259">
        <f t="shared" si="26"/>
        <v>0</v>
      </c>
      <c r="AV34" s="1363"/>
      <c r="AW34" s="1363"/>
      <c r="AX34" s="259">
        <f>'BPA Product '!AR34</f>
        <v>0</v>
      </c>
      <c r="AY34" s="259">
        <f t="shared" si="27"/>
        <v>126.00000000000637</v>
      </c>
      <c r="AZ34" s="258"/>
      <c r="BA34" s="260">
        <f t="shared" si="28"/>
        <v>0</v>
      </c>
      <c r="BB34" s="259">
        <f t="shared" si="29"/>
        <v>0</v>
      </c>
      <c r="BC34" s="637"/>
      <c r="BD34" s="684"/>
      <c r="BE34" s="685">
        <f>'BPA Product '!AS34</f>
        <v>0</v>
      </c>
      <c r="BF34" s="259">
        <f t="shared" si="30"/>
        <v>0</v>
      </c>
      <c r="BG34" s="258"/>
      <c r="BH34" s="259">
        <f t="shared" ref="BH34:BH36" si="66">BM33</f>
        <v>17.999999999997016</v>
      </c>
      <c r="BI34" s="259">
        <f t="shared" si="0"/>
        <v>0</v>
      </c>
      <c r="BJ34" s="633"/>
      <c r="BK34" s="633"/>
      <c r="BL34" s="259">
        <f>'BPA Product '!AM34</f>
        <v>0</v>
      </c>
      <c r="BM34" s="259">
        <f t="shared" si="32"/>
        <v>17.999999999997016</v>
      </c>
      <c r="BN34" s="258"/>
      <c r="BO34" s="259">
        <f t="shared" si="33"/>
        <v>9.0949470177292824E-13</v>
      </c>
      <c r="BP34" s="259">
        <f t="shared" si="34"/>
        <v>0</v>
      </c>
      <c r="BQ34" s="637"/>
      <c r="BR34" s="684"/>
      <c r="BS34" s="259">
        <f>'BPA Product '!AO34</f>
        <v>0</v>
      </c>
      <c r="BT34" s="259">
        <f t="shared" si="59"/>
        <v>9.0949470177292824E-13</v>
      </c>
      <c r="BU34" s="258"/>
      <c r="BV34" s="1161">
        <f t="shared" si="36"/>
        <v>0</v>
      </c>
      <c r="BW34" s="259">
        <f t="shared" si="1"/>
        <v>0</v>
      </c>
      <c r="BX34" s="637"/>
      <c r="BY34" s="684"/>
      <c r="BZ34" s="685">
        <f>'BPA Product '!AP34</f>
        <v>0</v>
      </c>
      <c r="CA34" s="259">
        <f t="shared" si="2"/>
        <v>0</v>
      </c>
      <c r="CB34" s="258"/>
      <c r="CC34" s="810">
        <f t="shared" si="37"/>
        <v>60</v>
      </c>
      <c r="CD34" s="810">
        <f t="shared" si="38"/>
        <v>0</v>
      </c>
      <c r="CE34" s="811"/>
      <c r="CF34" s="811"/>
      <c r="CG34" s="498">
        <f>'BPA Product '!AN34</f>
        <v>0</v>
      </c>
      <c r="CH34" s="810">
        <f t="shared" si="39"/>
        <v>60</v>
      </c>
      <c r="CI34" s="258"/>
      <c r="CJ34" s="810">
        <f t="shared" si="40"/>
        <v>0</v>
      </c>
      <c r="CK34" s="810">
        <f t="shared" si="3"/>
        <v>0</v>
      </c>
      <c r="CL34" s="811"/>
      <c r="CM34" s="811"/>
      <c r="CN34" s="498">
        <f>'BPA Product '!AS34</f>
        <v>0</v>
      </c>
      <c r="CO34" s="810">
        <f t="shared" si="41"/>
        <v>0</v>
      </c>
      <c r="CP34" s="258"/>
      <c r="CQ34" s="810">
        <f t="shared" si="42"/>
        <v>141.29999999999998</v>
      </c>
      <c r="CR34" s="810">
        <f t="shared" si="4"/>
        <v>0</v>
      </c>
      <c r="CS34" s="811"/>
      <c r="CT34" s="811"/>
      <c r="CU34" s="811"/>
      <c r="CV34" s="498">
        <f>'BPA Product '!AV34</f>
        <v>0</v>
      </c>
      <c r="CW34" s="259">
        <f t="shared" si="43"/>
        <v>141.29999999999998</v>
      </c>
      <c r="CX34" s="258"/>
      <c r="CY34" s="810">
        <f t="shared" si="44"/>
        <v>0</v>
      </c>
      <c r="CZ34" s="810"/>
      <c r="DA34" s="811"/>
      <c r="DB34" s="811"/>
      <c r="DC34" s="811"/>
      <c r="DD34" s="498">
        <f>'BPA Product '!AW34</f>
        <v>0</v>
      </c>
      <c r="DE34" s="259">
        <f t="shared" si="45"/>
        <v>0</v>
      </c>
      <c r="DF34" s="258"/>
      <c r="DG34" s="259">
        <f t="shared" ref="DG34:DG36" si="67">DL33</f>
        <v>0</v>
      </c>
      <c r="DH34" s="260">
        <f t="shared" si="5"/>
        <v>0</v>
      </c>
      <c r="DI34" s="631"/>
      <c r="DJ34" s="639"/>
      <c r="DK34" s="260">
        <f>'BPA Product '!AX34</f>
        <v>0</v>
      </c>
      <c r="DL34" s="259">
        <f t="shared" si="47"/>
        <v>0</v>
      </c>
      <c r="DM34" s="258"/>
      <c r="DN34" s="259">
        <f t="shared" si="48"/>
        <v>338.4</v>
      </c>
      <c r="DO34" s="260">
        <f t="shared" si="6"/>
        <v>0</v>
      </c>
      <c r="DP34" s="633"/>
      <c r="DQ34" s="1358"/>
      <c r="DR34" s="260">
        <f>'BPA Product '!AY34</f>
        <v>0</v>
      </c>
      <c r="DS34" s="259">
        <f t="shared" si="49"/>
        <v>338.4</v>
      </c>
      <c r="DT34" s="258"/>
      <c r="DU34" s="259">
        <f t="shared" ref="DU34:DU36" si="68">DZ33</f>
        <v>-1.7763568394002505E-14</v>
      </c>
      <c r="DV34" s="260">
        <f t="shared" si="7"/>
        <v>0</v>
      </c>
      <c r="DW34" s="631"/>
      <c r="DX34" s="639"/>
      <c r="DY34" s="260">
        <f>'BPA Product '!AZ34</f>
        <v>0</v>
      </c>
      <c r="DZ34" s="259">
        <f t="shared" si="51"/>
        <v>-1.7763568394002505E-14</v>
      </c>
      <c r="EA34" s="258"/>
      <c r="EB34" s="263">
        <f t="shared" si="52"/>
        <v>0</v>
      </c>
      <c r="EC34" s="263">
        <f t="shared" si="8"/>
        <v>0</v>
      </c>
      <c r="ED34" s="639"/>
      <c r="EE34" s="639"/>
      <c r="EF34" s="263">
        <f>'BPA Product '!BA34</f>
        <v>0</v>
      </c>
      <c r="EG34" s="685">
        <f t="shared" si="53"/>
        <v>0</v>
      </c>
      <c r="EH34" s="258"/>
      <c r="EI34" s="263">
        <f t="shared" si="54"/>
        <v>0</v>
      </c>
      <c r="EJ34" s="263">
        <f t="shared" si="9"/>
        <v>0</v>
      </c>
      <c r="EK34" s="639"/>
      <c r="EL34" s="639"/>
      <c r="EM34" s="263">
        <f>'BPA Product '!BB34</f>
        <v>0</v>
      </c>
      <c r="EN34" s="685">
        <f t="shared" si="55"/>
        <v>0</v>
      </c>
      <c r="EO34" s="258"/>
      <c r="EP34" s="685">
        <f t="shared" si="56"/>
        <v>0</v>
      </c>
      <c r="EQ34" s="663">
        <f t="shared" si="10"/>
        <v>0</v>
      </c>
      <c r="ER34" s="664"/>
      <c r="ES34" s="664"/>
      <c r="ET34" s="809">
        <f>'BPA Product '!BC34</f>
        <v>0</v>
      </c>
      <c r="EU34" s="685">
        <f t="shared" si="57"/>
        <v>0</v>
      </c>
      <c r="EV34" s="258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</row>
    <row r="35" spans="1:16383" s="152" customFormat="1">
      <c r="A35" s="257">
        <f t="shared" si="58"/>
        <v>43829</v>
      </c>
      <c r="B35" s="261">
        <f t="shared" si="60"/>
        <v>460.62999999999994</v>
      </c>
      <c r="C35" s="501">
        <f>'BPA Product '!L35+'BPA Product '!O35-D35</f>
        <v>471.69</v>
      </c>
      <c r="D35" s="267">
        <f t="shared" si="12"/>
        <v>0</v>
      </c>
      <c r="E35" s="812">
        <f t="shared" si="61"/>
        <v>471.69</v>
      </c>
      <c r="F35" s="259">
        <f>'BPA Product '!Q35</f>
        <v>0</v>
      </c>
      <c r="G35" s="259">
        <f>'BPA Product '!R35</f>
        <v>0</v>
      </c>
      <c r="H35" s="543">
        <f>'BPA Product '!S35</f>
        <v>0</v>
      </c>
      <c r="I35" s="630">
        <f>'BPA Product '!U35</f>
        <v>0</v>
      </c>
      <c r="J35" s="630">
        <f>'BPA Product '!V35</f>
        <v>0</v>
      </c>
      <c r="K35" s="630">
        <f>'BPA Product '!X35</f>
        <v>0</v>
      </c>
      <c r="L35" s="543">
        <f>'BPA Product '!AG35</f>
        <v>0</v>
      </c>
      <c r="M35" s="543">
        <f>'BPA Product '!AF35</f>
        <v>0</v>
      </c>
      <c r="N35" s="543">
        <f>'BPA Product '!T35</f>
        <v>0</v>
      </c>
      <c r="O35" s="498">
        <f>'BPA Product '!AH35+'BPA Product '!AI35</f>
        <v>0</v>
      </c>
      <c r="P35" s="616"/>
      <c r="Q35" s="259">
        <f t="shared" si="14"/>
        <v>932.31999999999994</v>
      </c>
      <c r="R35" s="360"/>
      <c r="S35" s="498">
        <f t="shared" si="62"/>
        <v>268.32999999999959</v>
      </c>
      <c r="T35" s="498">
        <f t="shared" si="63"/>
        <v>0</v>
      </c>
      <c r="U35" s="508">
        <f>'BPA Product '!BD35+'BPA Product '!BE35</f>
        <v>133.27000000000001</v>
      </c>
      <c r="V35" s="508">
        <f>'BPA Product '!AJ35</f>
        <v>0</v>
      </c>
      <c r="W35" s="498">
        <f>S35+T35-U35-V35</f>
        <v>135.05999999999958</v>
      </c>
      <c r="X35" s="507"/>
      <c r="Y35" s="259">
        <f t="shared" si="18"/>
        <v>0</v>
      </c>
      <c r="Z35" s="259">
        <f>'BPA Product '!M35</f>
        <v>0</v>
      </c>
      <c r="AA35" s="260">
        <f>'BPA Product '!Y35</f>
        <v>0</v>
      </c>
      <c r="AB35" s="260">
        <f>'BPA Product '!Z35</f>
        <v>0</v>
      </c>
      <c r="AC35" s="260">
        <f>'BPA Product '!AA35</f>
        <v>0</v>
      </c>
      <c r="AD35" s="259">
        <f t="shared" si="19"/>
        <v>0</v>
      </c>
      <c r="AE35" s="360"/>
      <c r="AF35" s="259">
        <f t="shared" si="65"/>
        <v>0</v>
      </c>
      <c r="AG35" s="259">
        <f>'BPA Product '!N35</f>
        <v>0</v>
      </c>
      <c r="AH35" s="260">
        <f>'BPA Product '!AB35</f>
        <v>0</v>
      </c>
      <c r="AI35" s="260">
        <f>'BPA Product '!AC35</f>
        <v>0</v>
      </c>
      <c r="AJ35" s="260">
        <f>'BPA Product '!AD35</f>
        <v>0</v>
      </c>
      <c r="AK35" s="259">
        <f t="shared" si="21"/>
        <v>0</v>
      </c>
      <c r="AL35" s="258"/>
      <c r="AM35" s="259">
        <f t="shared" si="22"/>
        <v>705.59999999999991</v>
      </c>
      <c r="AN35" s="259">
        <f t="shared" si="23"/>
        <v>0</v>
      </c>
      <c r="AO35" s="633"/>
      <c r="AP35" s="633"/>
      <c r="AQ35" s="259">
        <f>'BPA Product '!AQ35</f>
        <v>504</v>
      </c>
      <c r="AR35" s="259">
        <f t="shared" si="24"/>
        <v>201.59999999999991</v>
      </c>
      <c r="AS35" s="258"/>
      <c r="AT35" s="259">
        <f t="shared" si="25"/>
        <v>126.00000000000637</v>
      </c>
      <c r="AU35" s="259">
        <f t="shared" si="26"/>
        <v>0</v>
      </c>
      <c r="AV35" s="1363"/>
      <c r="AW35" s="1363"/>
      <c r="AX35" s="259">
        <f>'BPA Product '!AR35</f>
        <v>-2.8421709430404007E-14</v>
      </c>
      <c r="AY35" s="259">
        <f t="shared" si="27"/>
        <v>126.00000000000639</v>
      </c>
      <c r="AZ35" s="258"/>
      <c r="BA35" s="260">
        <f t="shared" si="28"/>
        <v>0</v>
      </c>
      <c r="BB35" s="259">
        <f t="shared" si="29"/>
        <v>0</v>
      </c>
      <c r="BC35" s="637"/>
      <c r="BD35" s="636"/>
      <c r="BE35" s="685">
        <f>'BPA Product '!AS35</f>
        <v>0</v>
      </c>
      <c r="BF35" s="259">
        <f t="shared" si="30"/>
        <v>0</v>
      </c>
      <c r="BG35" s="258"/>
      <c r="BH35" s="259">
        <f t="shared" si="66"/>
        <v>17.999999999997016</v>
      </c>
      <c r="BI35" s="259">
        <f t="shared" si="0"/>
        <v>0</v>
      </c>
      <c r="BJ35" s="633"/>
      <c r="BK35" s="633"/>
      <c r="BL35" s="259">
        <f>'BPA Product '!AM35</f>
        <v>0</v>
      </c>
      <c r="BM35" s="259">
        <f t="shared" si="32"/>
        <v>17.999999999997016</v>
      </c>
      <c r="BN35" s="258"/>
      <c r="BO35" s="259">
        <f t="shared" si="33"/>
        <v>9.0949470177292824E-13</v>
      </c>
      <c r="BP35" s="259">
        <f t="shared" si="34"/>
        <v>0</v>
      </c>
      <c r="BQ35" s="637"/>
      <c r="BR35" s="636"/>
      <c r="BS35" s="259">
        <f>'BPA Product '!AO35</f>
        <v>0</v>
      </c>
      <c r="BT35" s="259">
        <f t="shared" si="59"/>
        <v>9.0949470177292824E-13</v>
      </c>
      <c r="BU35" s="258"/>
      <c r="BV35" s="1161">
        <f t="shared" si="36"/>
        <v>0</v>
      </c>
      <c r="BW35" s="259">
        <f t="shared" si="1"/>
        <v>0</v>
      </c>
      <c r="BX35" s="637"/>
      <c r="BY35" s="636"/>
      <c r="BZ35" s="685">
        <f>'BPA Product '!AP35</f>
        <v>0</v>
      </c>
      <c r="CA35" s="259">
        <f>BV35+BW35+BX35+BY35-BZ35</f>
        <v>0</v>
      </c>
      <c r="CB35" s="258"/>
      <c r="CC35" s="810">
        <f t="shared" si="37"/>
        <v>60</v>
      </c>
      <c r="CD35" s="810">
        <f t="shared" si="38"/>
        <v>0</v>
      </c>
      <c r="CE35" s="811"/>
      <c r="CF35" s="811"/>
      <c r="CG35" s="498">
        <f>'BPA Product '!AN35</f>
        <v>0</v>
      </c>
      <c r="CH35" s="810">
        <f t="shared" si="39"/>
        <v>60</v>
      </c>
      <c r="CI35" s="258"/>
      <c r="CJ35" s="810">
        <f t="shared" si="40"/>
        <v>0</v>
      </c>
      <c r="CK35" s="810">
        <f t="shared" si="3"/>
        <v>0</v>
      </c>
      <c r="CL35" s="811"/>
      <c r="CM35" s="811"/>
      <c r="CN35" s="498">
        <f>'BPA Product '!AS35</f>
        <v>0</v>
      </c>
      <c r="CO35" s="810">
        <f t="shared" si="41"/>
        <v>0</v>
      </c>
      <c r="CP35" s="258"/>
      <c r="CQ35" s="810">
        <f t="shared" si="42"/>
        <v>141.29999999999998</v>
      </c>
      <c r="CR35" s="810">
        <f t="shared" si="4"/>
        <v>0</v>
      </c>
      <c r="CS35" s="811"/>
      <c r="CT35" s="811"/>
      <c r="CU35" s="811"/>
      <c r="CV35" s="498">
        <f>'BPA Product '!AV35</f>
        <v>0</v>
      </c>
      <c r="CW35" s="259">
        <f t="shared" si="43"/>
        <v>141.29999999999998</v>
      </c>
      <c r="CX35" s="258"/>
      <c r="CY35" s="810">
        <f t="shared" si="44"/>
        <v>0</v>
      </c>
      <c r="CZ35" s="810"/>
      <c r="DA35" s="811"/>
      <c r="DB35" s="811"/>
      <c r="DC35" s="811"/>
      <c r="DD35" s="498">
        <f>'BPA Product '!AW35</f>
        <v>0</v>
      </c>
      <c r="DE35" s="259">
        <f t="shared" si="45"/>
        <v>0</v>
      </c>
      <c r="DF35" s="258"/>
      <c r="DG35" s="259">
        <f t="shared" si="67"/>
        <v>0</v>
      </c>
      <c r="DH35" s="260">
        <f t="shared" si="5"/>
        <v>0</v>
      </c>
      <c r="DI35" s="631"/>
      <c r="DJ35" s="639"/>
      <c r="DK35" s="260">
        <f>'BPA Product '!AX35</f>
        <v>0</v>
      </c>
      <c r="DL35" s="259">
        <f t="shared" si="47"/>
        <v>0</v>
      </c>
      <c r="DM35" s="258"/>
      <c r="DN35" s="259">
        <f t="shared" si="48"/>
        <v>338.4</v>
      </c>
      <c r="DO35" s="260">
        <f t="shared" si="6"/>
        <v>0</v>
      </c>
      <c r="DP35" s="633"/>
      <c r="DQ35" s="1358"/>
      <c r="DR35" s="260">
        <f>'BPA Product '!AY35</f>
        <v>0</v>
      </c>
      <c r="DS35" s="259">
        <f t="shared" si="49"/>
        <v>338.4</v>
      </c>
      <c r="DT35" s="258"/>
      <c r="DU35" s="259">
        <f t="shared" si="68"/>
        <v>-1.7763568394002505E-14</v>
      </c>
      <c r="DV35" s="260">
        <f t="shared" si="7"/>
        <v>0</v>
      </c>
      <c r="DW35" s="631"/>
      <c r="DX35" s="639"/>
      <c r="DY35" s="260">
        <f>'BPA Product '!AZ35</f>
        <v>0</v>
      </c>
      <c r="DZ35" s="259">
        <f t="shared" si="51"/>
        <v>-1.7763568394002505E-14</v>
      </c>
      <c r="EA35" s="258"/>
      <c r="EB35" s="263">
        <f t="shared" si="52"/>
        <v>0</v>
      </c>
      <c r="EC35" s="263">
        <f t="shared" si="8"/>
        <v>0</v>
      </c>
      <c r="ED35" s="639"/>
      <c r="EE35" s="639"/>
      <c r="EF35" s="263">
        <f>'BPA Product '!BA35</f>
        <v>0</v>
      </c>
      <c r="EG35" s="685">
        <f t="shared" si="53"/>
        <v>0</v>
      </c>
      <c r="EH35" s="258"/>
      <c r="EI35" s="263">
        <f t="shared" si="54"/>
        <v>0</v>
      </c>
      <c r="EJ35" s="263">
        <f t="shared" si="9"/>
        <v>0</v>
      </c>
      <c r="EK35" s="639"/>
      <c r="EL35" s="639"/>
      <c r="EM35" s="263">
        <f>'BPA Product '!BB35</f>
        <v>0</v>
      </c>
      <c r="EN35" s="685">
        <f t="shared" si="55"/>
        <v>0</v>
      </c>
      <c r="EO35" s="258"/>
      <c r="EP35" s="685">
        <f t="shared" si="56"/>
        <v>0</v>
      </c>
      <c r="EQ35" s="663">
        <f t="shared" si="10"/>
        <v>0</v>
      </c>
      <c r="ER35" s="664"/>
      <c r="ES35" s="664"/>
      <c r="ET35" s="809">
        <f>'BPA Product '!BC35</f>
        <v>0</v>
      </c>
      <c r="EU35" s="685">
        <f t="shared" si="57"/>
        <v>0</v>
      </c>
      <c r="EV35" s="258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</row>
    <row r="36" spans="1:16383" s="751" customFormat="1" ht="15.75" outlineLevel="1" thickBot="1">
      <c r="A36" s="1147">
        <f t="shared" si="58"/>
        <v>43830</v>
      </c>
      <c r="B36" s="261">
        <f t="shared" ref="B36" si="69">Q35</f>
        <v>932.31999999999994</v>
      </c>
      <c r="C36" s="501">
        <f>'BPA Product '!L36+'BPA Product '!O36-D36</f>
        <v>267.27999999999997</v>
      </c>
      <c r="D36" s="267">
        <f t="shared" si="12"/>
        <v>0</v>
      </c>
      <c r="E36" s="812">
        <f t="shared" ref="E36" si="70">D36+C36</f>
        <v>267.27999999999997</v>
      </c>
      <c r="F36" s="259">
        <f>'BPA Product '!Q36</f>
        <v>0</v>
      </c>
      <c r="G36" s="259">
        <f>'BPA Product '!R36</f>
        <v>0</v>
      </c>
      <c r="H36" s="543">
        <f>'BPA Product '!S36</f>
        <v>0</v>
      </c>
      <c r="I36" s="630">
        <f>'BPA Product '!U36</f>
        <v>0</v>
      </c>
      <c r="J36" s="630">
        <f>'BPA Product '!V36</f>
        <v>0</v>
      </c>
      <c r="K36" s="630">
        <f>'BPA Product '!X36</f>
        <v>0</v>
      </c>
      <c r="L36" s="543">
        <f>'BPA Product '!AG36</f>
        <v>0</v>
      </c>
      <c r="M36" s="543">
        <f>'BPA Product '!AF36</f>
        <v>0</v>
      </c>
      <c r="N36" s="543">
        <f>'BPA Product '!T36</f>
        <v>0</v>
      </c>
      <c r="O36" s="498">
        <f>'BPA Product '!AH36+'BPA Product '!AI36</f>
        <v>0</v>
      </c>
      <c r="P36" s="616"/>
      <c r="Q36" s="259">
        <f t="shared" ref="Q36" si="71">(B36+E36-SUM(F36:O36))+P36</f>
        <v>1199.5999999999999</v>
      </c>
      <c r="R36" s="1150"/>
      <c r="S36" s="1148">
        <f t="shared" ref="S36" si="72">W35</f>
        <v>135.05999999999958</v>
      </c>
      <c r="T36" s="1148">
        <f t="shared" ref="T36" si="73">O36</f>
        <v>0</v>
      </c>
      <c r="U36" s="508">
        <f>'BPA Product '!BD36+'BPA Product '!BE36</f>
        <v>135.06</v>
      </c>
      <c r="V36" s="1151">
        <f>'BPA Product '!AI36</f>
        <v>0</v>
      </c>
      <c r="W36" s="498">
        <f>S36+T36-U36-V36</f>
        <v>-4.2632564145606011E-13</v>
      </c>
      <c r="X36" s="1150"/>
      <c r="Y36" s="1149">
        <f t="shared" si="18"/>
        <v>0</v>
      </c>
      <c r="Z36" s="1149">
        <f>'BPA Product '!M36</f>
        <v>0</v>
      </c>
      <c r="AA36" s="1151">
        <f>'BPA Product '!X36</f>
        <v>0</v>
      </c>
      <c r="AB36" s="1151">
        <f>'BPA Product '!Y36</f>
        <v>0</v>
      </c>
      <c r="AC36" s="1151">
        <f>'BPA Product '!Z36</f>
        <v>0</v>
      </c>
      <c r="AD36" s="259">
        <f t="shared" si="19"/>
        <v>0</v>
      </c>
      <c r="AE36" s="1150"/>
      <c r="AF36" s="1148">
        <f t="shared" si="65"/>
        <v>0</v>
      </c>
      <c r="AG36" s="1148">
        <f>'BPA Product '!N36</f>
        <v>0</v>
      </c>
      <c r="AH36" s="1151">
        <f>'BPA Product '!AA36</f>
        <v>0</v>
      </c>
      <c r="AI36" s="1151">
        <f>'BPA Product '!AB36</f>
        <v>0</v>
      </c>
      <c r="AJ36" s="1151">
        <f>'BPA Product '!AC36</f>
        <v>0</v>
      </c>
      <c r="AK36" s="1149">
        <f t="shared" si="21"/>
        <v>0</v>
      </c>
      <c r="AL36" s="1152"/>
      <c r="AM36" s="1148">
        <f t="shared" si="22"/>
        <v>201.59999999999991</v>
      </c>
      <c r="AN36" s="1149">
        <f t="shared" si="23"/>
        <v>0</v>
      </c>
      <c r="AO36" s="1153"/>
      <c r="AP36" s="1153"/>
      <c r="AQ36" s="1149">
        <f>'BPA Product '!AP36</f>
        <v>0</v>
      </c>
      <c r="AR36" s="1149">
        <f t="shared" si="24"/>
        <v>201.59999999999991</v>
      </c>
      <c r="AS36" s="1152"/>
      <c r="AT36" s="1148">
        <f t="shared" si="25"/>
        <v>126.00000000000639</v>
      </c>
      <c r="AU36" s="259">
        <f t="shared" si="26"/>
        <v>0</v>
      </c>
      <c r="AV36" s="1365"/>
      <c r="AW36" s="1365"/>
      <c r="AX36" s="1149">
        <f>'BPA Product '!AQ36</f>
        <v>0</v>
      </c>
      <c r="AY36" s="1149">
        <f t="shared" si="27"/>
        <v>126.00000000000639</v>
      </c>
      <c r="AZ36" s="1152"/>
      <c r="BA36" s="1151">
        <f t="shared" si="28"/>
        <v>0</v>
      </c>
      <c r="BB36" s="1149">
        <f t="shared" si="29"/>
        <v>0</v>
      </c>
      <c r="BC36" s="1153"/>
      <c r="BD36" s="1154"/>
      <c r="BE36" s="1148">
        <f>'BPA Product '!AR36</f>
        <v>0</v>
      </c>
      <c r="BF36" s="1149">
        <f t="shared" si="30"/>
        <v>0</v>
      </c>
      <c r="BG36" s="1152"/>
      <c r="BH36" s="1148">
        <f t="shared" si="66"/>
        <v>17.999999999997016</v>
      </c>
      <c r="BI36" s="1148">
        <f t="shared" si="0"/>
        <v>0</v>
      </c>
      <c r="BJ36" s="1153"/>
      <c r="BK36" s="1153"/>
      <c r="BL36" s="259">
        <f>'BPA Product '!AM36</f>
        <v>0</v>
      </c>
      <c r="BM36" s="1149">
        <f>BH36+BI36+BJ36-BL36-BK36</f>
        <v>17.999999999997016</v>
      </c>
      <c r="BN36" s="1152"/>
      <c r="BO36" s="1148">
        <f t="shared" si="33"/>
        <v>9.0949470177292824E-13</v>
      </c>
      <c r="BP36" s="1149">
        <f t="shared" si="34"/>
        <v>0</v>
      </c>
      <c r="BQ36" s="1153"/>
      <c r="BR36" s="1154"/>
      <c r="BS36" s="259">
        <f>'BPA Product '!AO36</f>
        <v>0</v>
      </c>
      <c r="BT36" s="1149">
        <f>BO36+BP36+BQ36-BS36-BR36</f>
        <v>9.0949470177292824E-13</v>
      </c>
      <c r="BU36" s="1152"/>
      <c r="BV36" s="1162">
        <f t="shared" si="36"/>
        <v>0</v>
      </c>
      <c r="BW36" s="1148">
        <f t="shared" si="1"/>
        <v>0</v>
      </c>
      <c r="BX36" s="1153"/>
      <c r="BY36" s="1154"/>
      <c r="BZ36" s="1148">
        <f>'BPA Product '!AO36</f>
        <v>0</v>
      </c>
      <c r="CA36" s="1149">
        <f t="shared" ref="CA36" si="74">BV36+BW36+BX36-BY36-BZ36</f>
        <v>0</v>
      </c>
      <c r="CB36" s="1152"/>
      <c r="CC36" s="1155">
        <f t="shared" si="37"/>
        <v>60</v>
      </c>
      <c r="CD36" s="810">
        <f t="shared" si="38"/>
        <v>0</v>
      </c>
      <c r="CE36" s="1157"/>
      <c r="CF36" s="1157"/>
      <c r="CG36" s="498">
        <f>'BPA Product '!AN36</f>
        <v>0</v>
      </c>
      <c r="CH36" s="1156">
        <f t="shared" si="39"/>
        <v>60</v>
      </c>
      <c r="CI36" s="1152"/>
      <c r="CJ36" s="1155">
        <f t="shared" si="40"/>
        <v>0</v>
      </c>
      <c r="CK36" s="1156">
        <f t="shared" si="3"/>
        <v>0</v>
      </c>
      <c r="CL36" s="1157"/>
      <c r="CM36" s="1157"/>
      <c r="CN36" s="498">
        <f>'BPA Product '!AS36</f>
        <v>0</v>
      </c>
      <c r="CO36" s="1156">
        <f t="shared" si="41"/>
        <v>0</v>
      </c>
      <c r="CP36" s="1152"/>
      <c r="CQ36" s="1155">
        <f t="shared" si="42"/>
        <v>141.29999999999998</v>
      </c>
      <c r="CR36" s="1156">
        <f t="shared" si="4"/>
        <v>0</v>
      </c>
      <c r="CS36" s="1157"/>
      <c r="CT36" s="1157"/>
      <c r="CU36" s="1153"/>
      <c r="CV36" s="1149">
        <f>'BPA Product '!AT36</f>
        <v>0</v>
      </c>
      <c r="CW36" s="1149">
        <f t="shared" si="43"/>
        <v>141.29999999999998</v>
      </c>
      <c r="CX36" s="1152"/>
      <c r="CY36" s="1155">
        <f t="shared" si="44"/>
        <v>0</v>
      </c>
      <c r="CZ36" s="810"/>
      <c r="DA36" s="1157"/>
      <c r="DB36" s="1157"/>
      <c r="DC36" s="1157"/>
      <c r="DD36" s="1149">
        <f>'BPA Product '!AU36</f>
        <v>0</v>
      </c>
      <c r="DE36" s="1149">
        <f t="shared" si="45"/>
        <v>0</v>
      </c>
      <c r="DF36" s="1152"/>
      <c r="DG36" s="1148">
        <f t="shared" si="67"/>
        <v>0</v>
      </c>
      <c r="DH36" s="1151">
        <f t="shared" si="5"/>
        <v>0</v>
      </c>
      <c r="DI36" s="1153"/>
      <c r="DJ36" s="1153"/>
      <c r="DK36" s="1158">
        <f>'BPA Product '!AV36</f>
        <v>0</v>
      </c>
      <c r="DL36" s="1149">
        <f t="shared" si="47"/>
        <v>0</v>
      </c>
      <c r="DM36" s="1152"/>
      <c r="DN36" s="1148">
        <f t="shared" si="48"/>
        <v>338.4</v>
      </c>
      <c r="DO36" s="1158">
        <f t="shared" si="6"/>
        <v>0</v>
      </c>
      <c r="DP36" s="1153"/>
      <c r="DQ36" s="1153"/>
      <c r="DR36" s="1158">
        <f>'BPA Product '!AW36</f>
        <v>0</v>
      </c>
      <c r="DS36" s="1149">
        <f t="shared" si="49"/>
        <v>338.4</v>
      </c>
      <c r="DT36" s="1152"/>
      <c r="DU36" s="1148">
        <f t="shared" si="68"/>
        <v>-1.7763568394002505E-14</v>
      </c>
      <c r="DV36" s="1158">
        <f t="shared" si="7"/>
        <v>0</v>
      </c>
      <c r="DW36" s="1153"/>
      <c r="DX36" s="1153"/>
      <c r="DY36" s="1158">
        <f>'BPA Product '!AX36</f>
        <v>0</v>
      </c>
      <c r="DZ36" s="1149">
        <f t="shared" si="51"/>
        <v>-1.7763568394002505E-14</v>
      </c>
      <c r="EA36" s="1152"/>
      <c r="EB36" s="1151">
        <f t="shared" si="52"/>
        <v>0</v>
      </c>
      <c r="EC36" s="1151">
        <f t="shared" si="8"/>
        <v>0</v>
      </c>
      <c r="ED36" s="1153"/>
      <c r="EE36" s="1153"/>
      <c r="EF36" s="1151">
        <f>'BPA Product '!AY36</f>
        <v>0</v>
      </c>
      <c r="EG36" s="1148">
        <f t="shared" si="53"/>
        <v>0</v>
      </c>
      <c r="EH36" s="1152"/>
      <c r="EI36" s="1151">
        <f t="shared" si="54"/>
        <v>0</v>
      </c>
      <c r="EJ36" s="1151">
        <f t="shared" si="9"/>
        <v>0</v>
      </c>
      <c r="EK36" s="1153"/>
      <c r="EL36" s="1153"/>
      <c r="EM36" s="1151">
        <f>'BPA Product '!AZ36</f>
        <v>0</v>
      </c>
      <c r="EN36" s="1148">
        <f t="shared" si="55"/>
        <v>0</v>
      </c>
      <c r="EO36" s="1152"/>
      <c r="EP36" s="1148">
        <f t="shared" si="56"/>
        <v>0</v>
      </c>
      <c r="EQ36" s="1155">
        <f t="shared" si="10"/>
        <v>0</v>
      </c>
      <c r="ER36" s="1157"/>
      <c r="ES36" s="1157"/>
      <c r="ET36" s="1159">
        <f>'BPA Product '!BA36</f>
        <v>0</v>
      </c>
      <c r="EU36" s="1148">
        <f t="shared" si="57"/>
        <v>0</v>
      </c>
      <c r="EV36" s="750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</row>
    <row r="37" spans="1:16383" s="373" customFormat="1" ht="15.75" thickBot="1">
      <c r="A37" s="1142"/>
      <c r="B37" s="1143">
        <f>Q5</f>
        <v>0</v>
      </c>
      <c r="C37" s="1315">
        <f>IF(DAY($A$36)=31,SUM(C6:C36),IF(DAY($A$36)=1,SUM(C6:C35),IF(DAY($A$36)=2,SUM(C6:C34),SUM(C6:C33))))</f>
        <v>12312.76</v>
      </c>
      <c r="D37" s="366">
        <f t="shared" ref="D37:Z37" si="75">IF(DAY($A$36)=31,SUM(D6:D36),IF(DAY($A$36)=1,SUM(D6:D35),IF(DAY($A$36)=2,SUM(D6:D34),SUM(D6:D33))))</f>
        <v>0</v>
      </c>
      <c r="E37" s="366">
        <f t="shared" ref="E37:P37" si="76">IF(DAY($A$36)=31,SUM(E6:E36),IF(DAY($A$36)=1,SUM(E6:E35),IF(DAY($A$36)=2,SUM(E6:E34),SUM(E6:E33))))</f>
        <v>12312.76</v>
      </c>
      <c r="F37" s="366">
        <f t="shared" si="76"/>
        <v>18</v>
      </c>
      <c r="G37" s="366">
        <f t="shared" si="76"/>
        <v>2718</v>
      </c>
      <c r="H37" s="366">
        <f t="shared" si="76"/>
        <v>8</v>
      </c>
      <c r="I37" s="366">
        <f t="shared" si="76"/>
        <v>1335.6</v>
      </c>
      <c r="J37" s="366">
        <f t="shared" si="76"/>
        <v>4798.7999999999993</v>
      </c>
      <c r="K37" s="366">
        <f t="shared" si="76"/>
        <v>0</v>
      </c>
      <c r="L37" s="366">
        <f t="shared" si="76"/>
        <v>0</v>
      </c>
      <c r="M37" s="366">
        <f t="shared" si="76"/>
        <v>57.599999999999994</v>
      </c>
      <c r="N37" s="366">
        <f t="shared" si="76"/>
        <v>148.4</v>
      </c>
      <c r="O37" s="366">
        <f t="shared" si="76"/>
        <v>2028.76</v>
      </c>
      <c r="P37" s="366">
        <f t="shared" si="76"/>
        <v>0</v>
      </c>
      <c r="Q37" s="1524">
        <f>B37+E37-SUM(F37:O37)-P37</f>
        <v>1199.6000000000004</v>
      </c>
      <c r="R37" s="367"/>
      <c r="S37" s="1144">
        <f>S6</f>
        <v>632.10999999999922</v>
      </c>
      <c r="T37" s="366">
        <f t="shared" ref="T37" si="77">IF(DAY($A$36)=31,SUM(T6:T36),IF(DAY($A$36)=1,SUM(T6:T35),IF(DAY($A$36)=2,SUM(T6:T34),SUM(T6:T33))))</f>
        <v>2028.76</v>
      </c>
      <c r="U37" s="366">
        <f>IF(DAY($A$36)=31,SUM(U6:U36),IF(DAY($A$36)=1,SUM(U6:U35),IF(DAY($A$36)=2,SUM(U6:U34),SUM(U6:U33))))</f>
        <v>2660.8700000000003</v>
      </c>
      <c r="V37" s="366">
        <f>IF(DAY($A$36)=31,SUM(V6:V36),IF(DAY($A$36)=1,SUM(V6:V35),IF(DAY($A$36)=2,SUM(V6:V34),SUM(V6:V33))))</f>
        <v>0</v>
      </c>
      <c r="W37" s="1145">
        <f>S37+T37-U37-V37</f>
        <v>-1.3642420526593924E-12</v>
      </c>
      <c r="X37" s="367"/>
      <c r="Y37" s="366">
        <f>AD5</f>
        <v>0</v>
      </c>
      <c r="Z37" s="366">
        <f t="shared" si="75"/>
        <v>338.4</v>
      </c>
      <c r="AA37" s="366">
        <f>IF(DAY($A$36)=31,SUM(AA6:AA36),IF(DAY($A$36)=1,SUM(AA6:AA35),IF(DAY($A$36)=2,SUM(AA6:AA34),SUM(AA6:AA33))))</f>
        <v>0</v>
      </c>
      <c r="AB37" s="366">
        <f>IF(DAY($A$36)=31,SUM(AB6:AB36),IF(DAY($A$36)=1,SUM(AB6:AB35),IF(DAY($A$36)=2,SUM(AB6:AB34),SUM(AB6:AB33))))</f>
        <v>338.4</v>
      </c>
      <c r="AC37" s="366">
        <f>IF(DAY($A$36)=31,SUM(AC6:AC36),IF(DAY($A$36)=1,SUM(AC6:AC35),IF(DAY($A$36)=2,SUM(AC6:AC34),SUM(AC6:AC33))))</f>
        <v>0</v>
      </c>
      <c r="AD37" s="366">
        <f>Y37+Z37-AA37-AC37-AB37</f>
        <v>0</v>
      </c>
      <c r="AE37" s="368"/>
      <c r="AF37" s="366">
        <f>AK5</f>
        <v>0</v>
      </c>
      <c r="AG37" s="366">
        <f>IF(DAY($A$36)=31,SUM(AG6:AG36),IF(DAY($A$36)=1,SUM(AG6:AG35),IF(DAY($A$36)=2,SUM(AG6:AG34),SUM(AG6:AG33))))</f>
        <v>0</v>
      </c>
      <c r="AH37" s="366">
        <f>IF(DAY($A$36)=31,SUM(AH6:AH36),IF(DAY($A$36)=1,SUM(AH6:AH35),IF(DAY($A$36)=2,SUM(AH6:AH34),SUM(AH6:AH33))))</f>
        <v>0</v>
      </c>
      <c r="AI37" s="366">
        <f>IF(DAY($A$36)=31,SUM(AI6:AI36),IF(DAY($A$36)=1,SUM(AI6:AI35),IF(DAY($A$36)=2,SUM(AI6:AI34),SUM(AI6:AI33))))</f>
        <v>0</v>
      </c>
      <c r="AJ37" s="366">
        <f>IF(DAY($A$36)=31,SUM(AJ6:AJ36),IF(DAY($A$36)=1,SUM(AJ6:AJ35),IF(DAY($A$36)=2,SUM(AJ6:AJ34),SUM(AJ6:AJ33))))</f>
        <v>0</v>
      </c>
      <c r="AK37" s="366">
        <f>AF37+AG37-AH37-AJ37</f>
        <v>0</v>
      </c>
      <c r="AL37" s="397"/>
      <c r="AM37" s="366">
        <f>AR5</f>
        <v>486</v>
      </c>
      <c r="AN37" s="366">
        <f>IF(DAY($A$36)=31,SUM(AN6:AN36),IF(DAY($A$36)=1,SUM(AN6:AN35),IF(DAY($A$36)=2,SUM(AN6:AN34),SUM(AN6:AN33))))</f>
        <v>1335.6</v>
      </c>
      <c r="AO37" s="366">
        <f>IF(DAY($A$36)=31,SUM(AO6:AO36),IF(DAY($A$36)=1,SUM(AO6:AO35),IF(DAY($A$36)=2,SUM(AO6:AO34),SUM(AO6:AO33))))</f>
        <v>0</v>
      </c>
      <c r="AP37" s="366">
        <f>IF(DAY($A$36)=31,SUM(AP6:AP36),IF(DAY($A$36)=1,SUM(AP6:AP35),IF(DAY($A$36)=2,SUM(AP6:AP34),SUM(AP6:AP33))))</f>
        <v>0</v>
      </c>
      <c r="AQ37" s="366">
        <f>IF(DAY($A$36)=31,SUM(AQ6:AQ36),IF(DAY($A$36)=1,SUM(AQ6:AQ35),IF(DAY($A$36)=2,SUM(AQ6:AQ34),SUM(AQ6:AQ33))))</f>
        <v>1620</v>
      </c>
      <c r="AR37" s="559">
        <f>AM37+AN37+AO37-AQ37-AP37</f>
        <v>201.59999999999991</v>
      </c>
      <c r="AS37" s="397"/>
      <c r="AT37" s="366">
        <f>AY5</f>
        <v>3085.2000000000057</v>
      </c>
      <c r="AU37" s="366">
        <f>IF(DAY($A$36)=31,SUM(AU6:AU36),IF(DAY($A$36)=1,SUM(AU6:AU35),IF(DAY($A$36)=2,SUM(AU6:AU34),SUM(AU6:AU33))))</f>
        <v>4798.7999999999993</v>
      </c>
      <c r="AV37" s="366">
        <f>IF(DAY($A$36)=31,SUM(AV6:AV36),IF(DAY($A$36)=1,SUM(AV6:AV35),IF(DAY($A$36)=2,SUM(AV6:AV34),SUM(AV6:AV33))))</f>
        <v>0</v>
      </c>
      <c r="AW37" s="366">
        <f>IF(DAY($A$36)=31,SUM(AW6:AW36),IF(DAY($A$36)=1,SUM(AW6:AW35),IF(DAY($A$36)=2,SUM(AW6:AW34),SUM(AW6:AW33))))</f>
        <v>0</v>
      </c>
      <c r="AX37" s="366">
        <f>IF(DAY($A$36)=31,SUM(AX6:AX36),IF(DAY($A$36)=1,SUM(AX6:AX35),IF(DAY($A$36)=2,SUM(AX6:AX34),SUM(AX6:AX33))))</f>
        <v>7758</v>
      </c>
      <c r="AY37" s="559">
        <f>AT37+AU37+AV37-AX37-AW37</f>
        <v>126.00000000000546</v>
      </c>
      <c r="AZ37" s="397"/>
      <c r="BA37" s="1143">
        <f>BF5</f>
        <v>0</v>
      </c>
      <c r="BB37" s="366">
        <f>IF(DAY($A$36)=31,SUM(BB6:BB36),IF(DAY($A$36)=1,SUM(BB6:BB35),IF(DAY($A$36)=2,SUM(BB6:BB34),SUM(BB6:BB33))))</f>
        <v>0</v>
      </c>
      <c r="BC37" s="366">
        <f t="shared" ref="BC37:BE37" si="78">IF(DAY($A$36)=31,SUM(BC6:BC36),IF(DAY($A$36)=1,SUM(BC6:BC35),IF(DAY($A$36)=2,SUM(BC6:BC34),SUM(BC6:BC33))))</f>
        <v>0</v>
      </c>
      <c r="BD37" s="366">
        <f t="shared" si="78"/>
        <v>0</v>
      </c>
      <c r="BE37" s="366">
        <f t="shared" si="78"/>
        <v>0</v>
      </c>
      <c r="BF37" s="559">
        <f>BA37+BB37+BC37-BD37-BE37</f>
        <v>0</v>
      </c>
      <c r="BG37" s="397"/>
      <c r="BH37" s="366">
        <f>BM5</f>
        <v>-2.9842794901924208E-12</v>
      </c>
      <c r="BI37" s="366">
        <f>IF(DAY($A$36)=31,SUM(BI6:BI36),IF(DAY($A$36)=1,SUM(BI6:BI35),IF(DAY($A$36)=2,SUM(BI6:BI34),SUM(BI6:BI33))))</f>
        <v>18</v>
      </c>
      <c r="BJ37" s="366">
        <f>IF(DAY($A$36)=31,SUM(BJ6:BJ36),IF(DAY($A$36)=1,SUM(BJ6:BJ35),IF(DAY($A$36)=2,SUM(BJ6:BJ34),SUM(BJ6:BJ33))))</f>
        <v>0</v>
      </c>
      <c r="BK37" s="366">
        <f>IF(DAY($A$36)=31,SUM(BK6:BK36),IF(DAY($A$36)=1,SUM(BK6:BK35),IF(DAY($A$36)=2,SUM(BK6:BK34),SUM(BK6:BK33))))</f>
        <v>0</v>
      </c>
      <c r="BL37" s="366">
        <f>IF(DAY($A$36)=31,SUM(BL6:BL36),IF(DAY($A$36)=1,SUM(BL6:BL35),IF(DAY($A$36)=2,SUM(BL6:BL34),SUM(BL6:BL33))))</f>
        <v>0</v>
      </c>
      <c r="BM37" s="559">
        <f>BH37+BI37+BJ37-BL37-BK37</f>
        <v>17.999999999997016</v>
      </c>
      <c r="BN37" s="397"/>
      <c r="BO37" s="366">
        <f>BT5</f>
        <v>4.5474735088646412E-13</v>
      </c>
      <c r="BP37" s="366">
        <f>IF(DAY($A$36)=31,SUM(BP6:BP36),IF(DAY($A$36)=1,SUM(BP6:BP35),IF(DAY($A$36)=2,SUM(BP6:BP34),SUM(BP6:BP33))))</f>
        <v>2718</v>
      </c>
      <c r="BQ37" s="366">
        <f>IF(DAY($A$36)=31,SUM(BQ6:BQ36),IF(DAY($A$36)=1,SUM(BQ6:BQ35),IF(DAY($A$36)=2,SUM(BQ6:BQ34),SUM(BQ6:BQ33))))</f>
        <v>0</v>
      </c>
      <c r="BR37" s="366">
        <f>IF(DAY($A$36)=31,SUM(BR6:BR36),IF(DAY($A$36)=1,SUM(BR6:BR35),IF(DAY($A$36)=2,SUM(BR6:BR34),SUM(BR6:BR33))))</f>
        <v>0</v>
      </c>
      <c r="BS37" s="366">
        <f>IF(DAY($A$36)=31,SUM(BS6:BS36),IF(DAY($A$36)=1,SUM(BS6:BS35),IF(DAY($A$36)=2,SUM(BS6:BS34),SUM(BS6:BS33))))</f>
        <v>2718</v>
      </c>
      <c r="BT37" s="559">
        <f>BO37+BP37+BQ37-BS37-BR37</f>
        <v>4.5474735088646412E-13</v>
      </c>
      <c r="BU37" s="397"/>
      <c r="BV37" s="1163">
        <f>CA5</f>
        <v>0</v>
      </c>
      <c r="BW37" s="366">
        <f>IF(DAY($A$36)=31,SUM(BW6:BW36),IF(DAY($A$36)=1,SUM(BW6:BW35),IF(DAY($A$36)=2,SUM(BW6:BW34),SUM(BW6:BW33))))</f>
        <v>8</v>
      </c>
      <c r="BX37" s="366">
        <f t="shared" ref="BX37:BZ37" si="79">IF(DAY($A$36)=31,SUM(BX6:BX36),IF(DAY($A$36)=1,SUM(BX6:BX35),IF(DAY($A$36)=2,SUM(BX6:BX34),SUM(BX6:BX33))))</f>
        <v>0</v>
      </c>
      <c r="BY37" s="848">
        <f t="shared" si="79"/>
        <v>0</v>
      </c>
      <c r="BZ37" s="366">
        <f t="shared" si="79"/>
        <v>8</v>
      </c>
      <c r="CA37" s="559">
        <f>BV37+BW37+BX37+BY37-BZ37</f>
        <v>0</v>
      </c>
      <c r="CB37" s="397"/>
      <c r="CC37" s="366">
        <f>CH5</f>
        <v>61.6</v>
      </c>
      <c r="CD37" s="366">
        <f>IF(DAY($A$36)=31,SUM(CD6:CD36),IF(DAY($A$36)=1,SUM(CD6:CD35),IF(DAY($A$36)=2,SUM(CD6:CD34),SUM(CD6:CD33))))</f>
        <v>148.4</v>
      </c>
      <c r="CE37" s="366">
        <f>IF(DAY($A$36)=31,SUM(CE6:CE36),IF(DAY($A$36)=1,SUM(CE6:CE35),IF(DAY($A$36)=2,SUM(CE6:CE34),SUM(CE6:CE33))))</f>
        <v>0</v>
      </c>
      <c r="CF37" s="366">
        <f>IF(DAY($A$36)=31,SUM(CF6:CF36),IF(DAY($A$36)=1,SUM(CF6:CF35),IF(DAY($A$36)=2,SUM(CF6:CF34),SUM(CF6:CF33))))</f>
        <v>0</v>
      </c>
      <c r="CG37" s="366">
        <f>IF(DAY($A$36)=31,SUM(CG6:CG36),IF(DAY($A$36)=1,SUM(CG6:CG35),IF(DAY($A$36)=2,SUM(CG6:CG34),SUM(CG6:CG33))))</f>
        <v>150</v>
      </c>
      <c r="CH37" s="559">
        <f>CC37+CD37+CE37-CG37-CF37</f>
        <v>60</v>
      </c>
      <c r="CI37" s="397"/>
      <c r="CJ37" s="366">
        <f>CO5</f>
        <v>0</v>
      </c>
      <c r="CK37" s="366">
        <f>IF(DAY($A$36)=31,SUM(CK6:CK36),IF(DAY($A$36)=1,SUM(CK6:CK35),IF(DAY($A$36)=2,SUM(CK6:CK34),SUM(CK6:CK33))))</f>
        <v>0</v>
      </c>
      <c r="CL37" s="366">
        <f>IF(DAY($A$36)=31,SUM(CL6:CL36),IF(DAY($A$36)=1,SUM(CL6:CL35),IF(DAY($A$36)=2,SUM(CL6:CL34),SUM(CL6:CL33))))</f>
        <v>0</v>
      </c>
      <c r="CM37" s="366">
        <f>IF(DAY($A$36)=31,SUM(CM6:CM36),IF(DAY($A$36)=1,SUM(CM6:CM35),IF(DAY($A$36)=2,SUM(CM6:CM34),SUM(CM6:CM33))))</f>
        <v>0</v>
      </c>
      <c r="CN37" s="366">
        <f>IF(DAY($A$36)=31,SUM(CN6:CN36),IF(DAY($A$36)=1,SUM(CN6:CN35),IF(DAY($A$36)=2,SUM(CN6:CN34),SUM(CN6:CN33))))</f>
        <v>0</v>
      </c>
      <c r="CO37" s="559">
        <f>CJ37+CK37+CL37-CN37-CM37</f>
        <v>0</v>
      </c>
      <c r="CP37" s="397"/>
      <c r="CQ37" s="366">
        <f>CW5</f>
        <v>83.699999999999989</v>
      </c>
      <c r="CR37" s="366">
        <f>IF(DAY($A$36)=31,SUM(CR6:CR36),IF(DAY($A$36)=1,SUM(CR6:CR35),IF(DAY($A$36)=2,SUM(CR6:CR34),SUM(CR6:CR33))))</f>
        <v>57.599999999999994</v>
      </c>
      <c r="CS37" s="366">
        <f>IF(DAY($A$36)=31,SUM(CS6:CS36),IF(DAY($A$36)=1,SUM(CS6:CS35),IF(DAY($A$36)=2,SUM(CS6:CS34),SUM(CS6:CS33))))</f>
        <v>0</v>
      </c>
      <c r="CT37" s="366">
        <f>IF(DAY($A$36)=31,SUM(CT6:CT36),IF(DAY($A$36)=1,SUM(CT6:CT35),IF(DAY($A$36)=2,SUM(CT6:CT34),SUM(CT6:CT33))))</f>
        <v>0</v>
      </c>
      <c r="CU37" s="366">
        <f>IF(DAY($A$36)=31,SUM(CU6:CU36),IF(DAY($A$36)=1,SUM(CU6:CU35),IF(DAY($A$36)=2,SUM(CU6:CU34),SUM(CU6:CU33))))</f>
        <v>0</v>
      </c>
      <c r="CV37" s="366">
        <f>IF(DAY($A$36)=31,SUM(CV6:CV36),IF(DAY($A$36)=1,SUM(CV6:CV35),IF(DAY($A$36)=2,SUM(CV6:CV34),SUM(CV6:CV33))))</f>
        <v>0</v>
      </c>
      <c r="CW37" s="559">
        <f>CQ37+CR37+CS37-CV37-CU37</f>
        <v>141.29999999999998</v>
      </c>
      <c r="CX37" s="397"/>
      <c r="CY37" s="366">
        <f>DE5</f>
        <v>0</v>
      </c>
      <c r="CZ37" s="366">
        <f>IF(DAY($A$36)=31,SUM(CZ6:CZ36),IF(DAY($A$36)=1,SUM(CZ6:CZ35),IF(DAY($A$36)=2,SUM(CZ6:CZ34),SUM(CZ6:CZ33))))</f>
        <v>0</v>
      </c>
      <c r="DA37" s="366">
        <f>IF(DAY($A$36)=31,SUM(DA6:DA36),IF(DAY($A$36)=1,SUM(DA6:DA35),IF(DAY($A$36)=2,SUM(DA6:DA34),SUM(DA6:DA33))))</f>
        <v>0</v>
      </c>
      <c r="DB37" s="366">
        <f>IF(DAY($A$36)=31,SUM(DB6:DB36),IF(DAY($A$36)=1,SUM(DB6:DB35),IF(DAY($A$36)=2,SUM(DB6:DB34),SUM(DB6:DB33))))</f>
        <v>0</v>
      </c>
      <c r="DC37" s="366">
        <f>IF(DAY($A$36)=31,SUM(DC6:DC36),IF(DAY($A$36)=1,SUM(DC6:DC35),IF(DAY($A$36)=2,SUM(DC6:DC34),SUM(DC6:DC33))))</f>
        <v>0</v>
      </c>
      <c r="DD37" s="366">
        <f>IF(DAY($A$36)=31,SUM(DD6:DD36),IF(DAY($A$36)=1,SUM(DD6:DD35),IF(DAY($A$36)=2,SUM(DD6:DD34),SUM(DD6:DD33))))</f>
        <v>0</v>
      </c>
      <c r="DE37" s="559">
        <f>CY37+CZ37+DA37-DD37-DC37</f>
        <v>0</v>
      </c>
      <c r="DF37" s="397"/>
      <c r="DG37" s="369">
        <f>DL5</f>
        <v>0</v>
      </c>
      <c r="DH37" s="366">
        <f t="shared" ref="DH37:DK37" si="80">IF(DAY($A$36)=31,SUM(DH6:DH36),IF(DAY($A$36)=1,SUM(DH6:DH35),IF(DAY($A$36)=2,SUM(DH6:DH34),SUM(DH6:DH33))))</f>
        <v>0</v>
      </c>
      <c r="DI37" s="366">
        <f t="shared" si="80"/>
        <v>0</v>
      </c>
      <c r="DJ37" s="370">
        <f t="shared" si="80"/>
        <v>0</v>
      </c>
      <c r="DK37" s="366">
        <f t="shared" si="80"/>
        <v>0</v>
      </c>
      <c r="DL37" s="559">
        <f>DG37+DH37+DI37-DJ37-DK37</f>
        <v>0</v>
      </c>
      <c r="DM37" s="397"/>
      <c r="DN37" s="369">
        <f>DS5</f>
        <v>0</v>
      </c>
      <c r="DO37" s="366">
        <f t="shared" ref="DO37:DR37" si="81">IF(DAY($A$36)=31,SUM(DO6:DO36),IF(DAY($A$36)=1,SUM(DO6:DO35),IF(DAY($A$36)=2,SUM(DO6:DO34),SUM(DO6:DO33))))</f>
        <v>338.4</v>
      </c>
      <c r="DP37" s="366">
        <f t="shared" si="81"/>
        <v>0</v>
      </c>
      <c r="DQ37" s="370">
        <f t="shared" si="81"/>
        <v>0</v>
      </c>
      <c r="DR37" s="366">
        <f t="shared" si="81"/>
        <v>0</v>
      </c>
      <c r="DS37" s="559">
        <f>DN37+DO37+DP37-DQ37-DR37</f>
        <v>338.4</v>
      </c>
      <c r="DT37" s="397"/>
      <c r="DU37" s="1146">
        <f>DZ5</f>
        <v>-1.7763568394002505E-14</v>
      </c>
      <c r="DV37" s="366">
        <f t="shared" ref="DV37:DY37" si="82">IF(DAY($A$36)=31,SUM(DV6:DV36),IF(DAY($A$36)=1,SUM(DV6:DV35),IF(DAY($A$36)=2,SUM(DV6:DV34),SUM(DV6:DV33))))</f>
        <v>0</v>
      </c>
      <c r="DW37" s="366">
        <f t="shared" si="82"/>
        <v>0</v>
      </c>
      <c r="DX37" s="370">
        <f t="shared" si="82"/>
        <v>0</v>
      </c>
      <c r="DY37" s="366">
        <f t="shared" si="82"/>
        <v>0</v>
      </c>
      <c r="DZ37" s="559">
        <f>DU37+DV37+DW37-DX37-DY37</f>
        <v>-1.7763568394002505E-14</v>
      </c>
      <c r="EA37" s="397"/>
      <c r="EB37" s="371">
        <f>EG5</f>
        <v>0</v>
      </c>
      <c r="EC37" s="372">
        <f t="shared" ref="EC37" si="83">IF(DAY($A$36)=31,SUM(EC6:EC36),IF(DAY($A$36)=1,SUM(EC6:EC35),IF(DAY($A$36)=2,SUM(EC6:EC34),SUM(EC6:EC33))))</f>
        <v>0</v>
      </c>
      <c r="ED37" s="372">
        <f>IF(DAY($A$36)=31,SUM(ED6:ED36),IF(DAY($A$36)=1,SUM(ED6:ED35),IF(DAY($A$36)=2,SUM(ED6:ED34),SUM(ED6:ED33))))</f>
        <v>0</v>
      </c>
      <c r="EE37" s="370">
        <f>IF(DAY($A$36)=31,SUM(EE6:EE36),IF(DAY($A$36)=1,SUM(EE6:EE35),IF(DAY($A$36)=2,SUM(EE6:EE34),SUM(EE6:EE33))))</f>
        <v>0</v>
      </c>
      <c r="EF37" s="372">
        <f t="shared" ref="EF37" si="84">IF(DAY($A$36)=31,SUM(EF6:EF36),IF(DAY($A$36)=1,SUM(EF6:EF35),IF(DAY($A$36)=2,SUM(EF6:EF34),SUM(EF6:EF33))))</f>
        <v>0</v>
      </c>
      <c r="EG37" s="560">
        <f>EB37+EC37+ED37-EE37-EF37</f>
        <v>0</v>
      </c>
      <c r="EH37" s="397"/>
      <c r="EI37" s="371">
        <f>EN5</f>
        <v>0</v>
      </c>
      <c r="EJ37" s="372">
        <f t="shared" ref="EJ37" si="85">IF(DAY($A$36)=31,SUM(EJ6:EJ36),IF(DAY($A$36)=1,SUM(EJ6:EJ35),IF(DAY($A$36)=2,SUM(EJ6:EJ34),SUM(EJ6:EJ33))))</f>
        <v>0</v>
      </c>
      <c r="EK37" s="372">
        <f>IF(DAY($A$36)=31,SUM(EK6:EK36),IF(DAY($A$36)=1,SUM(EK6:EK35),IF(DAY($A$36)=2,SUM(EK6:EK34),SUM(EK6:EK33))))</f>
        <v>0</v>
      </c>
      <c r="EL37" s="370">
        <f>IF(DAY($A$36)=31,SUM(EL6:EL36),IF(DAY($A$36)=1,SUM(EL6:EL35),IF(DAY($A$36)=2,SUM(EL6:EL34),SUM(EL6:EL33))))</f>
        <v>0</v>
      </c>
      <c r="EM37" s="372">
        <f t="shared" ref="EM37" si="86">IF(DAY($A$36)=31,SUM(EM6:EM36),IF(DAY($A$36)=1,SUM(EM6:EM35),IF(DAY($A$36)=2,SUM(EM6:EM34),SUM(EM6:EM33))))</f>
        <v>0</v>
      </c>
      <c r="EN37" s="560">
        <f>EI37+EJ37+EK37-EL37-EM37</f>
        <v>0</v>
      </c>
      <c r="EO37" s="397"/>
      <c r="EP37" s="946">
        <f>EU5</f>
        <v>0</v>
      </c>
      <c r="EQ37" s="372">
        <f>IF(DAY($A$36)=31,SUM(EQ6:EQ36),IF(DAY($A$36)=1,SUM(EQ6:EQ35),IF(DAY($A$36)=2,SUM(EQ6:EQ34),SUM(EQ6:EQ33))))</f>
        <v>0</v>
      </c>
      <c r="ER37" s="372">
        <f t="shared" ref="ER37:ET37" si="87">IF(DAY($A$36)=31,SUM(ER6:ER36),IF(DAY($A$36)=1,SUM(ER6:ER35),IF(DAY($A$36)=2,SUM(ER6:ER34),SUM(ER6:ER33))))</f>
        <v>0</v>
      </c>
      <c r="ES37" s="372">
        <f t="shared" si="87"/>
        <v>0</v>
      </c>
      <c r="ET37" s="372">
        <f t="shared" si="87"/>
        <v>0</v>
      </c>
      <c r="EU37" s="558">
        <f>EP37+EQ37+ER37-ES37-ET37</f>
        <v>0</v>
      </c>
      <c r="EV37" s="518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</row>
    <row r="38" spans="1:16383">
      <c r="C38" s="35"/>
      <c r="D38" s="35"/>
      <c r="E38" s="35"/>
      <c r="F38" s="291"/>
      <c r="G38" s="291"/>
      <c r="Q38" s="268"/>
      <c r="W38" s="114"/>
      <c r="Z38" s="35"/>
      <c r="AN38" s="268"/>
      <c r="AU38" s="268"/>
      <c r="BI38" s="268"/>
      <c r="BP38" s="268"/>
      <c r="CD38" s="268"/>
      <c r="CK38" s="268"/>
      <c r="CS38" s="268"/>
      <c r="DE38" s="390"/>
      <c r="DL38" s="390"/>
    </row>
    <row r="39" spans="1:16383">
      <c r="C39" s="35"/>
      <c r="D39" s="35"/>
      <c r="E39" s="35"/>
      <c r="Z39" s="35"/>
      <c r="AN39" s="268"/>
      <c r="AU39" s="268"/>
      <c r="BI39" s="268"/>
      <c r="BP39" s="268"/>
      <c r="CD39" s="268"/>
      <c r="CK39" s="268"/>
      <c r="CS39" s="268"/>
      <c r="DC39"/>
      <c r="DE39" s="390"/>
      <c r="DJ39"/>
      <c r="DL39" s="390"/>
    </row>
    <row r="40" spans="1:16383">
      <c r="C40" s="35"/>
      <c r="D40" s="35"/>
      <c r="E40" s="404" t="s">
        <v>313</v>
      </c>
      <c r="G40" s="292"/>
      <c r="H40" s="292"/>
      <c r="I40" s="292"/>
      <c r="J40" s="666">
        <f>J43+J41+J42</f>
        <v>1419.199999999996</v>
      </c>
      <c r="K40" s="292" t="s">
        <v>456</v>
      </c>
      <c r="L40" s="292"/>
      <c r="U40" s="376"/>
      <c r="V40" s="376"/>
      <c r="W40" s="376"/>
      <c r="X40" s="377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BE40" s="376"/>
      <c r="BF40" s="376"/>
      <c r="CA40" s="376"/>
      <c r="CH40" s="376"/>
      <c r="CP40" s="376"/>
      <c r="DC40" s="35"/>
      <c r="DJ40" s="35"/>
    </row>
    <row r="41" spans="1:16383" s="376" customFormat="1">
      <c r="C41" s="377"/>
      <c r="D41" s="377"/>
      <c r="E41" s="377"/>
      <c r="G41" t="s">
        <v>238</v>
      </c>
      <c r="J41" s="667">
        <f>Q37</f>
        <v>1199.6000000000004</v>
      </c>
      <c r="N41"/>
      <c r="X41" s="377"/>
      <c r="CY41"/>
      <c r="CZ41"/>
      <c r="DA41"/>
      <c r="DB41"/>
      <c r="DF41"/>
      <c r="DG41"/>
      <c r="DH41"/>
      <c r="DI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</row>
    <row r="42" spans="1:16383" s="376" customFormat="1">
      <c r="C42" s="377"/>
      <c r="D42" s="377"/>
      <c r="E42" s="377"/>
      <c r="G42" t="s">
        <v>387</v>
      </c>
      <c r="J42" s="667">
        <f>W37</f>
        <v>-1.3642420526593924E-12</v>
      </c>
      <c r="N42" s="378"/>
      <c r="X42" s="377"/>
      <c r="CY42"/>
      <c r="CZ42"/>
      <c r="DA42"/>
      <c r="DB42"/>
      <c r="DF42"/>
      <c r="DG42"/>
      <c r="DH42"/>
      <c r="DI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</row>
    <row r="43" spans="1:16383">
      <c r="C43" s="35"/>
      <c r="D43" s="35"/>
      <c r="E43" s="35"/>
      <c r="G43" t="s">
        <v>230</v>
      </c>
      <c r="J43" s="668">
        <f>AR37+BF37+BM37+CA37+CO37+DE37</f>
        <v>219.59999999999692</v>
      </c>
      <c r="U43" s="376"/>
      <c r="V43" s="376"/>
      <c r="W43" s="376"/>
      <c r="X43" s="377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BE43" s="376"/>
      <c r="BF43" s="376"/>
      <c r="CA43" s="376"/>
      <c r="CH43" s="376"/>
      <c r="CP43" s="376"/>
      <c r="DC43"/>
      <c r="DJ43"/>
    </row>
    <row r="44" spans="1:16383">
      <c r="C44" s="35"/>
      <c r="D44" s="35"/>
      <c r="E44" s="35"/>
      <c r="T44" s="114"/>
      <c r="U44" s="376"/>
      <c r="V44" s="376"/>
      <c r="W44" s="376"/>
      <c r="X44" s="377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268"/>
      <c r="AS44" s="268"/>
      <c r="BE44" s="376"/>
      <c r="BF44" s="376"/>
      <c r="BG44" s="268"/>
      <c r="BN44" s="268"/>
      <c r="CA44" s="376"/>
      <c r="CB44" s="268"/>
      <c r="CH44" s="376"/>
      <c r="CI44" s="268"/>
      <c r="CP44" s="376"/>
      <c r="CQ44" s="268"/>
      <c r="DC44"/>
      <c r="DJ44"/>
    </row>
    <row r="45" spans="1:16383">
      <c r="G45" s="292"/>
      <c r="H45" s="292"/>
      <c r="I45" s="292"/>
      <c r="J45" s="669">
        <f>SUM(J46:J47)</f>
        <v>-1.7763568394002505E-14</v>
      </c>
      <c r="K45" s="292" t="s">
        <v>316</v>
      </c>
      <c r="L45" s="292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BE45" s="376"/>
      <c r="BF45" s="376"/>
      <c r="CA45" s="376"/>
      <c r="CH45" s="376"/>
      <c r="CP45" s="376"/>
      <c r="DA45" s="264"/>
      <c r="DC45" s="114"/>
      <c r="DH45" s="264"/>
      <c r="DJ45" s="114"/>
    </row>
    <row r="46" spans="1:16383">
      <c r="G46" t="s">
        <v>231</v>
      </c>
      <c r="J46" s="668">
        <f>DL37+DZ37</f>
        <v>-1.7763568394002505E-14</v>
      </c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BE46" s="376"/>
      <c r="BF46" s="376"/>
      <c r="CA46" s="376"/>
      <c r="CH46" s="376"/>
      <c r="CP46" s="376"/>
      <c r="DA46" s="264"/>
      <c r="DC46" s="114"/>
      <c r="DH46" s="264"/>
      <c r="DJ46" s="114"/>
    </row>
    <row r="47" spans="1:16383">
      <c r="G47" t="s">
        <v>232</v>
      </c>
      <c r="J47" s="668">
        <f>EG37+EU37</f>
        <v>0</v>
      </c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BE47" s="376"/>
      <c r="BF47" s="376"/>
      <c r="CA47" s="376"/>
      <c r="CH47" s="376"/>
      <c r="CP47" s="376"/>
      <c r="DA47" s="264"/>
      <c r="DC47" s="114"/>
      <c r="DH47" s="264"/>
      <c r="DJ47" s="114"/>
    </row>
    <row r="48" spans="1:16383">
      <c r="G48" t="s">
        <v>390</v>
      </c>
      <c r="J48" s="671">
        <f>DL37+EG37</f>
        <v>0</v>
      </c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M48" s="524"/>
      <c r="AN48" s="524"/>
      <c r="AT48" s="524"/>
      <c r="AU48" s="524"/>
      <c r="BE48" s="376"/>
      <c r="BF48" s="376"/>
      <c r="BH48" s="524"/>
      <c r="BI48" s="524"/>
      <c r="BO48" s="524"/>
      <c r="BP48" s="524"/>
      <c r="CA48" s="376"/>
      <c r="CC48" s="524"/>
      <c r="CD48" s="524"/>
      <c r="CH48" s="376"/>
      <c r="CJ48" s="524"/>
      <c r="CK48" s="524"/>
      <c r="CP48" s="376"/>
      <c r="CR48" s="524"/>
      <c r="CS48" s="524"/>
      <c r="CT48" s="524"/>
      <c r="DA48" s="264"/>
      <c r="DC48"/>
      <c r="DH48" s="264"/>
      <c r="DJ48"/>
    </row>
    <row r="49" spans="6:114">
      <c r="G49" t="s">
        <v>455</v>
      </c>
      <c r="J49" s="672">
        <f>EU37+DZ37</f>
        <v>-1.7763568394002505E-14</v>
      </c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665"/>
      <c r="AM49" s="524"/>
      <c r="AN49" s="524"/>
      <c r="AT49" s="524"/>
      <c r="AU49" s="524"/>
      <c r="BE49" s="376"/>
      <c r="BF49" s="665"/>
      <c r="BH49" s="524"/>
      <c r="BI49" s="524"/>
      <c r="BO49" s="524"/>
      <c r="BP49" s="524"/>
      <c r="CA49" s="665"/>
      <c r="CC49" s="524"/>
      <c r="CD49" s="524"/>
      <c r="CH49" s="665"/>
      <c r="CJ49" s="524"/>
      <c r="CK49" s="524"/>
      <c r="CP49" s="665"/>
      <c r="CR49" s="524"/>
      <c r="CS49" s="524"/>
      <c r="CT49" s="524"/>
      <c r="DA49" s="264"/>
      <c r="DC49"/>
      <c r="DH49" s="264"/>
      <c r="DJ49"/>
    </row>
    <row r="50" spans="6:114"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T50" s="376"/>
      <c r="BG50" s="376"/>
      <c r="BH50" s="376"/>
      <c r="BO50" s="376"/>
      <c r="CC50" s="376"/>
      <c r="CJ50" s="376"/>
      <c r="CR50" s="376"/>
    </row>
    <row r="51" spans="6:114">
      <c r="F51" s="376"/>
      <c r="G51" s="376"/>
      <c r="H51" s="376"/>
      <c r="I51" s="376"/>
      <c r="J51" s="376"/>
      <c r="K51" s="376"/>
      <c r="L51" s="376"/>
      <c r="M51" s="376"/>
      <c r="N51" s="376"/>
      <c r="O51" s="376"/>
      <c r="P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T51" s="376"/>
      <c r="BG51" s="376"/>
      <c r="BH51" s="376"/>
      <c r="BO51" s="376"/>
      <c r="CC51" s="376"/>
      <c r="CJ51" s="376"/>
      <c r="CR51" s="376"/>
    </row>
    <row r="52" spans="6:114">
      <c r="F52" s="376"/>
      <c r="G52" s="376"/>
      <c r="H52" s="376"/>
      <c r="I52" s="376"/>
      <c r="J52" s="376"/>
      <c r="K52" s="376"/>
      <c r="L52" s="376"/>
      <c r="M52" s="376"/>
      <c r="N52" s="376"/>
      <c r="O52" s="836"/>
      <c r="P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T52" s="376"/>
      <c r="BG52" s="376"/>
      <c r="BH52" s="376"/>
      <c r="BO52" s="376"/>
      <c r="CC52" s="376"/>
      <c r="CJ52" s="376"/>
      <c r="CR52" s="376"/>
    </row>
    <row r="53" spans="6:114">
      <c r="F53" s="376"/>
      <c r="G53" s="376"/>
      <c r="H53" s="376"/>
      <c r="I53" s="376"/>
      <c r="J53" s="376"/>
      <c r="K53" s="376"/>
      <c r="L53" s="376"/>
      <c r="M53" s="376"/>
      <c r="N53" s="376"/>
      <c r="O53" s="673"/>
      <c r="P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T53" s="376"/>
      <c r="BG53" s="376"/>
      <c r="BH53" s="376"/>
      <c r="BO53" s="376"/>
      <c r="CC53" s="376"/>
      <c r="CJ53" s="376"/>
      <c r="CR53" s="376"/>
    </row>
    <row r="54" spans="6:114">
      <c r="F54" s="376"/>
      <c r="G54" s="376"/>
      <c r="H54" s="376"/>
      <c r="I54" s="376"/>
      <c r="J54" s="376"/>
      <c r="K54" s="376"/>
      <c r="L54" s="376"/>
      <c r="M54" s="376"/>
      <c r="N54" s="376"/>
      <c r="O54" s="673"/>
      <c r="P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T54" s="376"/>
      <c r="BG54" s="376"/>
      <c r="BH54" s="376"/>
      <c r="BO54" s="376"/>
      <c r="CC54" s="376"/>
      <c r="CJ54" s="376"/>
      <c r="CR54" s="376"/>
    </row>
    <row r="55" spans="6:114">
      <c r="F55" s="376"/>
      <c r="G55" s="376"/>
      <c r="H55" s="376"/>
      <c r="I55" s="376"/>
      <c r="J55" s="376"/>
      <c r="K55" s="376"/>
      <c r="L55" s="376"/>
      <c r="M55" s="376"/>
      <c r="N55" s="376"/>
      <c r="O55" s="836"/>
      <c r="P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T55" s="376"/>
      <c r="BG55" s="376"/>
      <c r="BH55" s="376"/>
      <c r="BO55" s="376"/>
      <c r="CC55" s="376"/>
      <c r="CJ55" s="376"/>
      <c r="CR55" s="376"/>
    </row>
    <row r="56" spans="6:114">
      <c r="F56" s="376"/>
      <c r="G56" s="376"/>
      <c r="H56" s="376"/>
      <c r="I56" s="376"/>
      <c r="J56" s="376"/>
      <c r="K56" s="376"/>
      <c r="L56" s="376"/>
      <c r="M56" s="376"/>
      <c r="N56" s="376"/>
      <c r="O56" s="837"/>
      <c r="P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T56" s="376"/>
      <c r="BG56" s="376"/>
      <c r="BH56" s="376"/>
      <c r="BO56" s="376"/>
      <c r="CC56" s="376"/>
      <c r="CJ56" s="376"/>
      <c r="CR56" s="376"/>
    </row>
    <row r="57" spans="6:114">
      <c r="F57" s="376"/>
      <c r="G57" s="376"/>
      <c r="H57" s="376"/>
      <c r="I57" s="376"/>
      <c r="J57" s="376"/>
      <c r="K57" s="376"/>
      <c r="L57" s="376"/>
      <c r="M57" s="376"/>
      <c r="N57" s="376"/>
      <c r="O57" s="836"/>
      <c r="P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T57" s="376"/>
      <c r="BG57" s="376"/>
      <c r="BH57" s="376"/>
      <c r="BO57" s="376"/>
      <c r="CC57" s="376"/>
      <c r="CJ57" s="376"/>
      <c r="CR57" s="376"/>
    </row>
    <row r="58" spans="6:114">
      <c r="F58" s="376"/>
      <c r="G58" s="376"/>
      <c r="H58" s="376"/>
      <c r="I58" s="376"/>
      <c r="J58" s="376"/>
      <c r="K58" s="376"/>
      <c r="L58" s="376"/>
      <c r="M58" s="376"/>
      <c r="N58" s="376"/>
      <c r="O58" s="836"/>
      <c r="P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T58" s="376"/>
      <c r="BG58" s="376"/>
      <c r="BH58" s="376"/>
      <c r="BO58" s="376"/>
      <c r="CC58" s="376"/>
      <c r="CJ58" s="376"/>
      <c r="CR58" s="376"/>
    </row>
    <row r="59" spans="6:114">
      <c r="F59" s="376"/>
      <c r="G59" s="376"/>
      <c r="H59" s="376"/>
      <c r="I59" s="376"/>
      <c r="J59" s="376"/>
      <c r="K59" s="376"/>
      <c r="L59" s="376"/>
      <c r="M59" s="376"/>
      <c r="N59" s="376"/>
      <c r="O59" s="838"/>
      <c r="P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O59" s="114"/>
      <c r="AP59" s="114"/>
      <c r="AQ59" s="114"/>
      <c r="AT59" s="376"/>
      <c r="AV59" s="114"/>
      <c r="AW59" s="114"/>
      <c r="AX59" s="114"/>
      <c r="BG59" s="376"/>
      <c r="BH59" s="376"/>
      <c r="BJ59" s="114"/>
      <c r="BK59" s="114"/>
      <c r="BL59" s="114"/>
      <c r="BO59" s="376"/>
      <c r="BQ59" s="114"/>
      <c r="BR59" s="114"/>
      <c r="BS59" s="114"/>
      <c r="CC59" s="376"/>
      <c r="CE59" s="114"/>
      <c r="CF59" s="114"/>
      <c r="CG59" s="114"/>
      <c r="CJ59" s="376"/>
      <c r="CL59" s="114"/>
      <c r="CM59" s="114"/>
      <c r="CN59" s="114"/>
      <c r="CO59" s="114"/>
      <c r="CR59" s="376"/>
      <c r="CT59" s="114"/>
      <c r="CU59" s="114"/>
      <c r="CV59" s="114"/>
      <c r="CW59" s="114"/>
    </row>
    <row r="60" spans="6:114">
      <c r="F60" s="376"/>
      <c r="G60" s="376"/>
      <c r="H60" s="376"/>
      <c r="I60" s="376"/>
      <c r="J60" s="376"/>
      <c r="K60" s="376"/>
      <c r="L60" s="376"/>
      <c r="M60" s="376"/>
      <c r="N60" s="376"/>
      <c r="O60" s="839"/>
      <c r="P60" s="376"/>
      <c r="V60" s="670"/>
    </row>
    <row r="61" spans="6:114">
      <c r="F61" s="376"/>
      <c r="G61" s="376"/>
      <c r="H61" s="376"/>
      <c r="I61" s="376"/>
      <c r="J61" s="376"/>
      <c r="K61" s="376"/>
      <c r="L61" s="376"/>
      <c r="M61" s="376"/>
      <c r="N61" s="376"/>
      <c r="O61" s="376"/>
      <c r="P61" s="376"/>
      <c r="AN61" s="114"/>
      <c r="AU61" s="114"/>
      <c r="BI61" s="114"/>
      <c r="BP61" s="114"/>
      <c r="CD61" s="114"/>
      <c r="CK61" s="114"/>
      <c r="CS61" s="114"/>
    </row>
  </sheetData>
  <mergeCells count="21">
    <mergeCell ref="DN3:DS3"/>
    <mergeCell ref="EI3:EN3"/>
    <mergeCell ref="AM3:AR3"/>
    <mergeCell ref="EP3:EU3"/>
    <mergeCell ref="DU3:DZ3"/>
    <mergeCell ref="EB3:EG3"/>
    <mergeCell ref="AF3:AK3"/>
    <mergeCell ref="A2:A4"/>
    <mergeCell ref="BH3:BM3"/>
    <mergeCell ref="BA3:BF3"/>
    <mergeCell ref="DG3:DL3"/>
    <mergeCell ref="B3:Q3"/>
    <mergeCell ref="Y3:AD3"/>
    <mergeCell ref="S3:W3"/>
    <mergeCell ref="BV3:CA3"/>
    <mergeCell ref="CJ3:CO3"/>
    <mergeCell ref="CY3:DE3"/>
    <mergeCell ref="AT3:AY3"/>
    <mergeCell ref="BO3:BT3"/>
    <mergeCell ref="CQ3:CW3"/>
    <mergeCell ref="CC3:CH3"/>
  </mergeCells>
  <pageMargins left="0.19685039370078741" right="0.15748031496062992" top="0.27559055118110237" bottom="0.19685039370078741" header="0.31496062992125984" footer="0.15748031496062992"/>
  <pageSetup paperSize="9" scale="47" fitToWidth="5" orientation="landscape" r:id="rId1"/>
  <colBreaks count="1" manualBreakCount="1">
    <brk id="124" max="1048575" man="1"/>
  </colBreaks>
  <customProperties>
    <customPr name="EpmWorksheetKeyString_GUID" r:id="rId2"/>
  </customProperties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00B050"/>
    <pageSetUpPr fitToPage="1"/>
  </sheetPr>
  <dimension ref="A1:AN46"/>
  <sheetViews>
    <sheetView zoomScale="70" zoomScaleNormal="70" workbookViewId="0">
      <pane xSplit="1" ySplit="4" topLeftCell="B15" activePane="bottomRight" state="frozen"/>
      <selection activeCell="F33" sqref="F33"/>
      <selection pane="topRight" activeCell="F33" sqref="F33"/>
      <selection pane="bottomLeft" activeCell="F33" sqref="F33"/>
      <selection pane="bottomRight" activeCell="N39" sqref="N39"/>
    </sheetView>
  </sheetViews>
  <sheetFormatPr defaultRowHeight="15" outlineLevelRow="1"/>
  <cols>
    <col min="1" max="1" width="13.42578125" customWidth="1"/>
    <col min="2" max="13" width="12.5703125" style="153" customWidth="1"/>
    <col min="14" max="14" width="9.140625" customWidth="1"/>
    <col min="15" max="15" width="15.42578125" customWidth="1"/>
    <col min="16" max="16" width="15.85546875" bestFit="1" customWidth="1"/>
    <col min="17" max="17" width="13.140625" customWidth="1"/>
    <col min="18" max="18" width="9.140625" style="113" customWidth="1"/>
    <col min="19" max="28" width="9.140625" customWidth="1"/>
    <col min="29" max="29" width="10.42578125" customWidth="1"/>
    <col min="30" max="32" width="9.140625" customWidth="1"/>
    <col min="35" max="35" width="7.42578125" customWidth="1"/>
    <col min="36" max="36" width="13.140625" customWidth="1"/>
  </cols>
  <sheetData>
    <row r="1" spans="1:40" ht="15.75" thickBot="1">
      <c r="A1" s="109" t="s">
        <v>110</v>
      </c>
    </row>
    <row r="2" spans="1:40" ht="19.5" thickBot="1">
      <c r="A2" s="1874" t="s">
        <v>111</v>
      </c>
      <c r="B2" s="1877" t="s">
        <v>157</v>
      </c>
      <c r="C2" s="1877"/>
      <c r="D2" s="1877"/>
      <c r="E2" s="1877"/>
      <c r="F2" s="1877"/>
      <c r="G2" s="1877"/>
      <c r="H2" s="1877"/>
      <c r="I2" s="1877"/>
      <c r="J2" s="1877"/>
      <c r="K2" s="1877"/>
      <c r="L2" s="1877"/>
      <c r="M2" s="1878"/>
      <c r="Q2" s="1879"/>
      <c r="R2" s="1879"/>
      <c r="S2" s="1879"/>
      <c r="T2" s="1879"/>
      <c r="U2" s="1879"/>
      <c r="V2" s="48"/>
      <c r="W2" s="48"/>
      <c r="X2" s="48"/>
      <c r="Y2" s="48"/>
      <c r="Z2" s="48"/>
      <c r="AB2" s="4"/>
      <c r="AC2" s="1879"/>
      <c r="AD2" s="1879"/>
      <c r="AE2" s="1879"/>
      <c r="AF2" s="1879"/>
      <c r="AG2" s="1879"/>
      <c r="AJ2" s="1879"/>
      <c r="AK2" s="1879"/>
      <c r="AL2" s="1879"/>
      <c r="AM2" s="1879"/>
      <c r="AN2" s="1879"/>
    </row>
    <row r="3" spans="1:40" ht="15" customHeight="1">
      <c r="A3" s="1875"/>
      <c r="B3" s="1880" t="s">
        <v>10</v>
      </c>
      <c r="C3" s="1880"/>
      <c r="D3" s="1881"/>
      <c r="E3" s="218" t="s">
        <v>158</v>
      </c>
      <c r="F3" s="1882" t="s">
        <v>11</v>
      </c>
      <c r="G3" s="1883"/>
      <c r="H3" s="1884"/>
      <c r="I3" s="219" t="s">
        <v>158</v>
      </c>
      <c r="J3" s="1885" t="s">
        <v>159</v>
      </c>
      <c r="K3" s="1886"/>
      <c r="L3" s="1887"/>
      <c r="M3" s="220" t="s">
        <v>158</v>
      </c>
      <c r="Q3" s="1873"/>
      <c r="R3" s="1873"/>
      <c r="S3" s="1873"/>
      <c r="T3" s="1873"/>
      <c r="U3" s="1873"/>
      <c r="V3" s="48"/>
      <c r="W3" s="48"/>
      <c r="X3" s="48"/>
      <c r="Y3" s="48"/>
      <c r="Z3" s="48"/>
      <c r="AB3" s="4"/>
      <c r="AC3" s="1873"/>
      <c r="AD3" s="1873"/>
      <c r="AE3" s="1873"/>
      <c r="AF3" s="1873"/>
      <c r="AG3" s="1873"/>
      <c r="AJ3" s="1873"/>
      <c r="AK3" s="1873"/>
      <c r="AL3" s="1873"/>
      <c r="AM3" s="1873"/>
      <c r="AN3" s="1873"/>
    </row>
    <row r="4" spans="1:40" ht="40.700000000000003" customHeight="1" thickBot="1">
      <c r="A4" s="1876"/>
      <c r="B4" s="221" t="s">
        <v>160</v>
      </c>
      <c r="C4" s="270" t="s">
        <v>161</v>
      </c>
      <c r="D4" s="271" t="s">
        <v>162</v>
      </c>
      <c r="E4" s="1328" t="s">
        <v>163</v>
      </c>
      <c r="F4" s="414" t="s">
        <v>164</v>
      </c>
      <c r="G4" s="415" t="s">
        <v>598</v>
      </c>
      <c r="H4" s="416" t="s">
        <v>165</v>
      </c>
      <c r="I4" s="1331" t="s">
        <v>163</v>
      </c>
      <c r="J4" s="417" t="s">
        <v>166</v>
      </c>
      <c r="K4" s="418" t="s">
        <v>167</v>
      </c>
      <c r="L4" s="418" t="s">
        <v>165</v>
      </c>
      <c r="M4" s="419" t="s">
        <v>163</v>
      </c>
      <c r="Q4" s="199"/>
      <c r="R4" s="222"/>
      <c r="S4" s="223"/>
      <c r="T4" s="223"/>
      <c r="U4" s="223"/>
      <c r="V4" s="48"/>
      <c r="W4" s="48"/>
      <c r="X4" s="223"/>
      <c r="Y4" s="223"/>
      <c r="Z4" s="223"/>
      <c r="AB4" s="4"/>
      <c r="AC4" s="199"/>
      <c r="AD4" s="222"/>
      <c r="AE4" s="223"/>
      <c r="AF4" s="223"/>
      <c r="AG4" s="223"/>
      <c r="AJ4" s="199"/>
      <c r="AK4" s="222"/>
      <c r="AL4" s="223"/>
      <c r="AM4" s="223"/>
      <c r="AN4" s="223"/>
    </row>
    <row r="5" spans="1:40">
      <c r="A5" s="224">
        <f>'Raw Material'!A5</f>
        <v>43800</v>
      </c>
      <c r="B5" s="1254">
        <v>48.554000000000002</v>
      </c>
      <c r="C5" s="1198">
        <v>67.507999999999996</v>
      </c>
      <c r="D5" s="625">
        <v>0</v>
      </c>
      <c r="E5" s="285">
        <f t="shared" ref="E5:E32" si="0">D5+C5-B5</f>
        <v>18.953999999999994</v>
      </c>
      <c r="F5" s="1255">
        <v>11.824999999999999</v>
      </c>
      <c r="G5" s="1200">
        <v>12.949</v>
      </c>
      <c r="H5" s="626">
        <v>0</v>
      </c>
      <c r="I5" s="1330">
        <f t="shared" ref="I5:I34" si="1">H5+G5-F5</f>
        <v>1.1240000000000006</v>
      </c>
      <c r="J5" s="420"/>
      <c r="K5" s="283"/>
      <c r="L5" s="283"/>
      <c r="M5" s="284"/>
      <c r="O5" s="208"/>
      <c r="Q5" s="227"/>
      <c r="R5" s="144"/>
      <c r="S5" s="48"/>
      <c r="T5" s="48"/>
      <c r="U5" s="121"/>
      <c r="V5" s="48"/>
      <c r="W5" s="48"/>
      <c r="X5" s="48"/>
      <c r="Y5" s="48"/>
      <c r="Z5" s="48"/>
      <c r="AB5" s="4"/>
      <c r="AC5" s="228"/>
      <c r="AD5" s="229"/>
      <c r="AE5" s="4"/>
      <c r="AF5" s="4"/>
      <c r="AG5" s="230"/>
      <c r="AJ5" s="227"/>
      <c r="AK5" s="107"/>
      <c r="AL5" s="48"/>
      <c r="AM5" s="48"/>
      <c r="AN5" s="121"/>
    </row>
    <row r="6" spans="1:40">
      <c r="A6" s="150">
        <f>A5+1</f>
        <v>43801</v>
      </c>
      <c r="B6" s="272">
        <f>C5</f>
        <v>67.507999999999996</v>
      </c>
      <c r="C6" s="1199">
        <v>61.923000000000002</v>
      </c>
      <c r="D6" s="625">
        <v>22.12</v>
      </c>
      <c r="E6" s="285">
        <f t="shared" si="0"/>
        <v>16.535000000000011</v>
      </c>
      <c r="F6" s="275">
        <f>G5</f>
        <v>12.949</v>
      </c>
      <c r="G6" s="1190">
        <v>14.352</v>
      </c>
      <c r="H6" s="627">
        <v>0</v>
      </c>
      <c r="I6" s="740">
        <f t="shared" si="1"/>
        <v>1.4030000000000005</v>
      </c>
      <c r="J6" s="421">
        <f>K5</f>
        <v>0</v>
      </c>
      <c r="K6" s="225"/>
      <c r="L6" s="225"/>
      <c r="M6" s="226">
        <f>L6+K6-J6</f>
        <v>0</v>
      </c>
      <c r="O6" s="208"/>
      <c r="Q6" s="227"/>
      <c r="R6" s="143"/>
      <c r="S6" s="48"/>
      <c r="T6" s="48"/>
      <c r="U6" s="121"/>
      <c r="V6" s="48"/>
      <c r="W6" s="48"/>
      <c r="X6" s="48"/>
      <c r="Y6" s="48"/>
      <c r="Z6" s="48"/>
      <c r="AB6" s="4"/>
      <c r="AC6" s="228"/>
      <c r="AD6" s="229"/>
      <c r="AE6" s="4"/>
      <c r="AF6" s="4"/>
      <c r="AG6" s="230"/>
      <c r="AJ6" s="227"/>
      <c r="AK6" s="107"/>
      <c r="AL6" s="48"/>
      <c r="AM6" s="48"/>
      <c r="AN6" s="121"/>
    </row>
    <row r="7" spans="1:40">
      <c r="A7" s="150">
        <f t="shared" ref="A7:A35" si="2">A6+1</f>
        <v>43802</v>
      </c>
      <c r="B7" s="273">
        <f t="shared" ref="B7:B33" si="3">C6</f>
        <v>61.923000000000002</v>
      </c>
      <c r="C7" s="1199">
        <v>58.707999999999998</v>
      </c>
      <c r="D7" s="625">
        <v>22.15</v>
      </c>
      <c r="E7" s="285">
        <f t="shared" si="0"/>
        <v>18.935000000000002</v>
      </c>
      <c r="F7" s="275">
        <f t="shared" ref="F7:F35" si="4">G6</f>
        <v>14.352</v>
      </c>
      <c r="G7" s="1190">
        <v>15.856999999999999</v>
      </c>
      <c r="H7" s="627">
        <v>0</v>
      </c>
      <c r="I7" s="740">
        <f t="shared" si="1"/>
        <v>1.504999999999999</v>
      </c>
      <c r="J7" s="421">
        <f t="shared" ref="J7:J35" si="5">K6</f>
        <v>0</v>
      </c>
      <c r="K7" s="225"/>
      <c r="L7" s="225"/>
      <c r="M7" s="226">
        <f t="shared" ref="M7:M35" si="6">L7+K7-J7</f>
        <v>0</v>
      </c>
      <c r="O7" s="208"/>
      <c r="Q7" s="227"/>
      <c r="R7" s="143"/>
      <c r="S7" s="48"/>
      <c r="T7" s="48"/>
      <c r="U7" s="121"/>
      <c r="V7" s="48"/>
      <c r="W7" s="48"/>
      <c r="X7" s="48"/>
      <c r="Y7" s="48"/>
      <c r="Z7" s="48"/>
      <c r="AB7" s="4"/>
      <c r="AC7" s="228"/>
      <c r="AD7" s="229"/>
      <c r="AE7" s="4"/>
      <c r="AF7" s="4"/>
      <c r="AG7" s="230"/>
      <c r="AJ7" s="227"/>
      <c r="AK7" s="107"/>
      <c r="AL7" s="48"/>
      <c r="AM7" s="48"/>
      <c r="AN7" s="121"/>
    </row>
    <row r="8" spans="1:40">
      <c r="A8" s="150">
        <f t="shared" si="2"/>
        <v>43803</v>
      </c>
      <c r="B8" s="273">
        <f>C7</f>
        <v>58.707999999999998</v>
      </c>
      <c r="C8" s="1189">
        <v>57.365000000000002</v>
      </c>
      <c r="D8" s="625">
        <v>22.24</v>
      </c>
      <c r="E8" s="285">
        <f t="shared" si="0"/>
        <v>20.897000000000006</v>
      </c>
      <c r="F8" s="275">
        <f t="shared" si="4"/>
        <v>15.856999999999999</v>
      </c>
      <c r="G8" s="1190">
        <v>5.5519999999999996</v>
      </c>
      <c r="H8" s="627">
        <v>11.5</v>
      </c>
      <c r="I8" s="740">
        <f t="shared" si="1"/>
        <v>1.1950000000000003</v>
      </c>
      <c r="J8" s="421">
        <f t="shared" si="5"/>
        <v>0</v>
      </c>
      <c r="K8" s="225"/>
      <c r="L8" s="225"/>
      <c r="M8" s="226">
        <f t="shared" si="6"/>
        <v>0</v>
      </c>
      <c r="O8" s="208"/>
      <c r="Q8" s="227"/>
      <c r="R8" s="143"/>
      <c r="S8" s="48"/>
      <c r="T8" s="48"/>
      <c r="U8" s="121"/>
      <c r="V8" s="48"/>
      <c r="W8" s="48"/>
      <c r="X8" s="48"/>
      <c r="Y8" s="48"/>
      <c r="Z8" s="48"/>
      <c r="AB8" s="4"/>
      <c r="AC8" s="228"/>
      <c r="AD8" s="229"/>
      <c r="AE8" s="4"/>
      <c r="AF8" s="4"/>
      <c r="AG8" s="230"/>
      <c r="AJ8" s="227"/>
      <c r="AK8" s="107"/>
      <c r="AL8" s="48"/>
      <c r="AM8" s="48"/>
      <c r="AN8" s="121"/>
    </row>
    <row r="9" spans="1:40">
      <c r="A9" s="150">
        <f t="shared" si="2"/>
        <v>43804</v>
      </c>
      <c r="B9" s="274">
        <f t="shared" si="3"/>
        <v>57.365000000000002</v>
      </c>
      <c r="C9" s="1189">
        <v>58.820999999999998</v>
      </c>
      <c r="D9" s="625">
        <v>22.16</v>
      </c>
      <c r="E9" s="285">
        <f t="shared" si="0"/>
        <v>23.615999999999993</v>
      </c>
      <c r="F9" s="275">
        <f t="shared" si="4"/>
        <v>5.5519999999999996</v>
      </c>
      <c r="G9" s="1190">
        <v>6.577</v>
      </c>
      <c r="H9" s="627">
        <v>0</v>
      </c>
      <c r="I9" s="740">
        <f t="shared" si="1"/>
        <v>1.0250000000000004</v>
      </c>
      <c r="J9" s="421">
        <f t="shared" si="5"/>
        <v>0</v>
      </c>
      <c r="K9" s="225"/>
      <c r="L9" s="225"/>
      <c r="M9" s="226">
        <f t="shared" si="6"/>
        <v>0</v>
      </c>
      <c r="O9" s="208"/>
      <c r="Q9" s="227"/>
      <c r="R9" s="143"/>
      <c r="S9" s="48"/>
      <c r="T9" s="48"/>
      <c r="U9" s="121"/>
      <c r="V9" s="48"/>
      <c r="W9" s="48"/>
      <c r="X9" s="48"/>
      <c r="Y9" s="48"/>
      <c r="Z9" s="48"/>
      <c r="AB9" s="4"/>
      <c r="AC9" s="228"/>
      <c r="AD9" s="229"/>
      <c r="AE9" s="4"/>
      <c r="AF9" s="4"/>
      <c r="AG9" s="230"/>
      <c r="AJ9" s="227"/>
      <c r="AK9" s="107"/>
      <c r="AL9" s="48"/>
      <c r="AM9" s="48"/>
      <c r="AN9" s="121"/>
    </row>
    <row r="10" spans="1:40">
      <c r="A10" s="150">
        <f t="shared" si="2"/>
        <v>43805</v>
      </c>
      <c r="B10" s="274">
        <f t="shared" si="3"/>
        <v>58.820999999999998</v>
      </c>
      <c r="C10" s="1189">
        <v>57.780999999999999</v>
      </c>
      <c r="D10" s="625">
        <v>22.11</v>
      </c>
      <c r="E10" s="285">
        <f t="shared" si="0"/>
        <v>21.069999999999993</v>
      </c>
      <c r="F10" s="275">
        <f t="shared" si="4"/>
        <v>6.577</v>
      </c>
      <c r="G10" s="1190">
        <v>7.351</v>
      </c>
      <c r="H10" s="627">
        <v>0</v>
      </c>
      <c r="I10" s="740">
        <f t="shared" si="1"/>
        <v>0.77400000000000002</v>
      </c>
      <c r="J10" s="421">
        <f t="shared" si="5"/>
        <v>0</v>
      </c>
      <c r="K10" s="225"/>
      <c r="L10" s="225"/>
      <c r="M10" s="226">
        <f t="shared" si="6"/>
        <v>0</v>
      </c>
      <c r="O10" s="208"/>
      <c r="Q10" s="227"/>
      <c r="R10" s="143"/>
      <c r="S10" s="48"/>
      <c r="T10" s="48"/>
      <c r="U10" s="121"/>
      <c r="V10" s="48"/>
      <c r="W10" s="48"/>
      <c r="X10" s="48"/>
      <c r="Y10" s="48"/>
      <c r="Z10" s="48"/>
      <c r="AB10" s="4"/>
      <c r="AC10" s="228"/>
      <c r="AD10" s="229"/>
      <c r="AE10" s="4"/>
      <c r="AF10" s="4"/>
      <c r="AG10" s="230"/>
      <c r="AJ10" s="227"/>
      <c r="AK10" s="107"/>
      <c r="AL10" s="48"/>
      <c r="AM10" s="48"/>
      <c r="AN10" s="121"/>
    </row>
    <row r="11" spans="1:40">
      <c r="A11" s="150">
        <f t="shared" si="2"/>
        <v>43806</v>
      </c>
      <c r="B11" s="274">
        <f t="shared" si="3"/>
        <v>57.780999999999999</v>
      </c>
      <c r="C11" s="1189">
        <v>63.154000000000003</v>
      </c>
      <c r="D11" s="932">
        <v>16.62</v>
      </c>
      <c r="E11" s="285">
        <f t="shared" si="0"/>
        <v>21.993000000000002</v>
      </c>
      <c r="F11" s="275">
        <f t="shared" si="4"/>
        <v>7.351</v>
      </c>
      <c r="G11" s="1201">
        <v>8.1069999999999993</v>
      </c>
      <c r="H11" s="934">
        <v>0</v>
      </c>
      <c r="I11" s="740">
        <f t="shared" si="1"/>
        <v>0.75599999999999934</v>
      </c>
      <c r="J11" s="421">
        <f t="shared" si="5"/>
        <v>0</v>
      </c>
      <c r="K11" s="231"/>
      <c r="L11" s="231"/>
      <c r="M11" s="226">
        <f t="shared" si="6"/>
        <v>0</v>
      </c>
      <c r="O11" s="208"/>
      <c r="Q11" s="227"/>
      <c r="R11" s="143"/>
      <c r="S11" s="48"/>
      <c r="T11" s="48"/>
      <c r="U11" s="121"/>
      <c r="V11" s="48"/>
      <c r="W11" s="48"/>
      <c r="X11" s="48"/>
      <c r="Y11" s="48"/>
      <c r="Z11" s="48"/>
      <c r="AB11" s="4"/>
      <c r="AC11" s="228"/>
      <c r="AD11" s="229"/>
      <c r="AE11" s="4"/>
      <c r="AF11" s="4"/>
      <c r="AG11" s="230"/>
      <c r="AJ11" s="227"/>
      <c r="AK11" s="107"/>
      <c r="AL11" s="48"/>
      <c r="AM11" s="48"/>
      <c r="AN11" s="121"/>
    </row>
    <row r="12" spans="1:40">
      <c r="A12" s="150">
        <f t="shared" si="2"/>
        <v>43807</v>
      </c>
      <c r="B12" s="274">
        <f t="shared" si="3"/>
        <v>63.154000000000003</v>
      </c>
      <c r="C12" s="1189">
        <v>88.884</v>
      </c>
      <c r="D12" s="625">
        <v>0</v>
      </c>
      <c r="E12" s="285">
        <f t="shared" si="0"/>
        <v>25.729999999999997</v>
      </c>
      <c r="F12" s="275">
        <f t="shared" si="4"/>
        <v>8.1069999999999993</v>
      </c>
      <c r="G12" s="1201">
        <v>8.8559999999999999</v>
      </c>
      <c r="H12" s="934">
        <v>0</v>
      </c>
      <c r="I12" s="740">
        <f t="shared" si="1"/>
        <v>0.74900000000000055</v>
      </c>
      <c r="J12" s="421">
        <f t="shared" si="5"/>
        <v>0</v>
      </c>
      <c r="K12" s="231"/>
      <c r="L12" s="231"/>
      <c r="M12" s="226">
        <f t="shared" si="6"/>
        <v>0</v>
      </c>
      <c r="O12" s="208"/>
      <c r="Q12" s="227"/>
      <c r="R12" s="143"/>
      <c r="S12" s="48"/>
      <c r="T12" s="48"/>
      <c r="U12" s="121"/>
      <c r="V12" s="48"/>
      <c r="W12" s="48"/>
      <c r="X12" s="48"/>
      <c r="Y12" s="48"/>
      <c r="Z12" s="48"/>
      <c r="AB12" s="4"/>
      <c r="AC12" s="228"/>
      <c r="AD12" s="229"/>
      <c r="AE12" s="4"/>
      <c r="AF12" s="4"/>
      <c r="AG12" s="230"/>
      <c r="AJ12" s="227"/>
      <c r="AK12" s="107"/>
      <c r="AL12" s="48"/>
      <c r="AM12" s="48"/>
      <c r="AN12" s="121"/>
    </row>
    <row r="13" spans="1:40">
      <c r="A13" s="150">
        <f t="shared" si="2"/>
        <v>43808</v>
      </c>
      <c r="B13" s="274">
        <f t="shared" si="3"/>
        <v>88.884</v>
      </c>
      <c r="C13" s="1189">
        <v>80.34</v>
      </c>
      <c r="D13" s="625">
        <v>33.21</v>
      </c>
      <c r="E13" s="285">
        <f t="shared" si="0"/>
        <v>24.666000000000011</v>
      </c>
      <c r="F13" s="275">
        <f t="shared" si="4"/>
        <v>8.8559999999999999</v>
      </c>
      <c r="G13" s="1201">
        <v>9.6029999999999998</v>
      </c>
      <c r="H13" s="934">
        <v>0</v>
      </c>
      <c r="I13" s="740">
        <f t="shared" si="1"/>
        <v>0.74699999999999989</v>
      </c>
      <c r="J13" s="421">
        <f t="shared" si="5"/>
        <v>0</v>
      </c>
      <c r="K13" s="231"/>
      <c r="L13" s="231"/>
      <c r="M13" s="226">
        <f t="shared" si="6"/>
        <v>0</v>
      </c>
      <c r="O13" s="208"/>
      <c r="P13" s="1556"/>
      <c r="Q13" s="227"/>
      <c r="R13" s="1557"/>
      <c r="S13" s="48"/>
      <c r="T13" s="48"/>
      <c r="U13" s="121"/>
      <c r="V13" s="48"/>
      <c r="W13" s="48"/>
      <c r="X13" s="48"/>
      <c r="Y13" s="48"/>
      <c r="Z13" s="48"/>
      <c r="AB13" s="4"/>
      <c r="AC13" s="228"/>
      <c r="AD13" s="229"/>
      <c r="AE13" s="4"/>
      <c r="AF13" s="4"/>
      <c r="AG13" s="230"/>
      <c r="AJ13" s="227"/>
      <c r="AK13" s="107"/>
      <c r="AL13" s="48"/>
      <c r="AM13" s="48"/>
      <c r="AN13" s="121"/>
    </row>
    <row r="14" spans="1:40">
      <c r="A14" s="150">
        <f t="shared" si="2"/>
        <v>43809</v>
      </c>
      <c r="B14" s="274">
        <f t="shared" si="3"/>
        <v>80.34</v>
      </c>
      <c r="C14" s="1189">
        <v>83.108999999999995</v>
      </c>
      <c r="D14" s="625">
        <v>22.09</v>
      </c>
      <c r="E14" s="285">
        <f t="shared" si="0"/>
        <v>24.858999999999995</v>
      </c>
      <c r="F14" s="275">
        <f t="shared" si="4"/>
        <v>9.6029999999999998</v>
      </c>
      <c r="G14" s="1201">
        <v>10.294</v>
      </c>
      <c r="H14" s="934">
        <v>0</v>
      </c>
      <c r="I14" s="740">
        <f t="shared" si="1"/>
        <v>0.69100000000000072</v>
      </c>
      <c r="J14" s="421">
        <f t="shared" si="5"/>
        <v>0</v>
      </c>
      <c r="K14" s="231"/>
      <c r="L14" s="231"/>
      <c r="M14" s="226">
        <f t="shared" si="6"/>
        <v>0</v>
      </c>
      <c r="O14" s="208"/>
      <c r="P14" s="1556"/>
      <c r="Q14" s="107"/>
      <c r="R14" s="143"/>
      <c r="S14" s="48"/>
      <c r="T14" s="48"/>
      <c r="U14" s="121"/>
      <c r="V14" s="48"/>
      <c r="W14" s="48"/>
      <c r="X14" s="48"/>
      <c r="Y14" s="48"/>
      <c r="Z14" s="48"/>
      <c r="AB14" s="4"/>
      <c r="AC14" s="228"/>
      <c r="AD14" s="229"/>
      <c r="AE14" s="4"/>
      <c r="AF14" s="4"/>
      <c r="AG14" s="230"/>
      <c r="AJ14" s="227"/>
      <c r="AK14" s="107"/>
      <c r="AL14" s="48"/>
      <c r="AM14" s="48"/>
      <c r="AN14" s="121"/>
    </row>
    <row r="15" spans="1:40">
      <c r="A15" s="150">
        <f t="shared" si="2"/>
        <v>43810</v>
      </c>
      <c r="B15" s="274">
        <f t="shared" si="3"/>
        <v>83.108999999999995</v>
      </c>
      <c r="C15" s="1189">
        <v>83.338999999999999</v>
      </c>
      <c r="D15" s="625">
        <v>22.12</v>
      </c>
      <c r="E15" s="285">
        <f t="shared" si="0"/>
        <v>22.350000000000009</v>
      </c>
      <c r="F15" s="275">
        <f t="shared" si="4"/>
        <v>10.294</v>
      </c>
      <c r="G15" s="1201">
        <v>10.874000000000001</v>
      </c>
      <c r="H15" s="934">
        <v>0</v>
      </c>
      <c r="I15" s="740">
        <f t="shared" si="1"/>
        <v>0.58000000000000007</v>
      </c>
      <c r="J15" s="421">
        <f t="shared" si="5"/>
        <v>0</v>
      </c>
      <c r="K15" s="231"/>
      <c r="L15" s="231"/>
      <c r="M15" s="226">
        <f t="shared" si="6"/>
        <v>0</v>
      </c>
      <c r="O15" s="208"/>
      <c r="P15" s="208"/>
      <c r="Q15" s="1349"/>
      <c r="R15" s="143"/>
      <c r="S15" s="48"/>
      <c r="T15" s="48"/>
      <c r="U15" s="121"/>
      <c r="V15" s="48"/>
      <c r="W15" s="48"/>
      <c r="X15" s="48"/>
      <c r="Y15" s="48"/>
      <c r="Z15" s="48"/>
      <c r="AB15" s="4"/>
      <c r="AC15" s="228"/>
      <c r="AD15" s="229"/>
      <c r="AE15" s="4"/>
      <c r="AF15" s="4"/>
      <c r="AG15" s="230"/>
      <c r="AJ15" s="227"/>
      <c r="AK15" s="107"/>
      <c r="AL15" s="48"/>
      <c r="AM15" s="48"/>
      <c r="AN15" s="121"/>
    </row>
    <row r="16" spans="1:40">
      <c r="A16" s="150">
        <f t="shared" si="2"/>
        <v>43811</v>
      </c>
      <c r="B16" s="274">
        <f t="shared" si="3"/>
        <v>83.338999999999999</v>
      </c>
      <c r="C16" s="1189">
        <v>85.825000000000003</v>
      </c>
      <c r="D16" s="625">
        <v>22.18</v>
      </c>
      <c r="E16" s="285">
        <f t="shared" si="0"/>
        <v>24.665999999999997</v>
      </c>
      <c r="F16" s="275">
        <f t="shared" si="4"/>
        <v>10.874000000000001</v>
      </c>
      <c r="G16" s="1190">
        <v>11.275</v>
      </c>
      <c r="H16" s="934">
        <v>0</v>
      </c>
      <c r="I16" s="740">
        <f t="shared" si="1"/>
        <v>0.4009999999999998</v>
      </c>
      <c r="J16" s="421">
        <f t="shared" si="5"/>
        <v>0</v>
      </c>
      <c r="K16" s="231"/>
      <c r="L16" s="231"/>
      <c r="M16" s="226">
        <f t="shared" si="6"/>
        <v>0</v>
      </c>
      <c r="O16" s="208"/>
      <c r="P16" s="208"/>
      <c r="Q16" s="1349"/>
      <c r="R16" s="143"/>
      <c r="S16" s="48"/>
      <c r="T16" s="1558"/>
      <c r="U16" s="121"/>
      <c r="V16" s="48"/>
      <c r="W16" s="48"/>
      <c r="X16" s="48"/>
      <c r="Y16" s="48"/>
      <c r="Z16" s="48"/>
      <c r="AB16" s="4"/>
      <c r="AC16" s="228"/>
      <c r="AD16" s="229"/>
      <c r="AE16" s="4"/>
      <c r="AF16" s="4"/>
      <c r="AG16" s="230"/>
      <c r="AJ16" s="227"/>
      <c r="AK16" s="107"/>
      <c r="AL16" s="48"/>
      <c r="AM16" s="48"/>
      <c r="AN16" s="121"/>
    </row>
    <row r="17" spans="1:40">
      <c r="A17" s="150">
        <f t="shared" si="2"/>
        <v>43812</v>
      </c>
      <c r="B17" s="274">
        <f t="shared" si="3"/>
        <v>85.825000000000003</v>
      </c>
      <c r="C17" s="1189">
        <v>87.87</v>
      </c>
      <c r="D17" s="932">
        <v>22.17</v>
      </c>
      <c r="E17" s="285">
        <f t="shared" si="0"/>
        <v>24.215000000000003</v>
      </c>
      <c r="F17" s="275">
        <f t="shared" si="4"/>
        <v>11.275</v>
      </c>
      <c r="G17" s="1190">
        <v>11.677</v>
      </c>
      <c r="H17" s="934">
        <v>0</v>
      </c>
      <c r="I17" s="740">
        <f t="shared" si="1"/>
        <v>0.40199999999999925</v>
      </c>
      <c r="J17" s="421">
        <f t="shared" si="5"/>
        <v>0</v>
      </c>
      <c r="K17" s="231"/>
      <c r="L17" s="231"/>
      <c r="M17" s="226">
        <f t="shared" si="6"/>
        <v>0</v>
      </c>
      <c r="O17" s="208"/>
      <c r="Q17" s="227"/>
      <c r="R17" s="143"/>
      <c r="S17" s="48"/>
      <c r="T17" s="48"/>
      <c r="U17" s="121"/>
      <c r="V17" s="48"/>
      <c r="W17" s="48"/>
      <c r="X17" s="48"/>
      <c r="Y17" s="48"/>
      <c r="Z17" s="48"/>
      <c r="AB17" s="4"/>
      <c r="AC17" s="228"/>
      <c r="AD17" s="229"/>
      <c r="AE17" s="4"/>
      <c r="AF17" s="4"/>
      <c r="AG17" s="230"/>
      <c r="AJ17" s="227"/>
      <c r="AK17" s="107"/>
      <c r="AL17" s="48"/>
      <c r="AM17" s="48"/>
      <c r="AN17" s="121"/>
    </row>
    <row r="18" spans="1:40">
      <c r="A18" s="150">
        <f t="shared" si="2"/>
        <v>43813</v>
      </c>
      <c r="B18" s="274">
        <f t="shared" si="3"/>
        <v>87.87</v>
      </c>
      <c r="C18" s="1189">
        <v>60.923999999999999</v>
      </c>
      <c r="D18" s="932">
        <v>42.36</v>
      </c>
      <c r="E18" s="285">
        <f t="shared" si="0"/>
        <v>15.413999999999987</v>
      </c>
      <c r="F18" s="275">
        <f t="shared" si="4"/>
        <v>11.677</v>
      </c>
      <c r="G18" s="1190">
        <v>12.039</v>
      </c>
      <c r="H18" s="934">
        <v>0</v>
      </c>
      <c r="I18" s="740">
        <f t="shared" si="1"/>
        <v>0.3620000000000001</v>
      </c>
      <c r="J18" s="421">
        <f t="shared" si="5"/>
        <v>0</v>
      </c>
      <c r="K18" s="231"/>
      <c r="L18" s="231"/>
      <c r="M18" s="226">
        <f t="shared" si="6"/>
        <v>0</v>
      </c>
      <c r="O18" s="208"/>
      <c r="Q18" s="227"/>
      <c r="R18" s="143"/>
      <c r="S18" s="48"/>
      <c r="T18" s="48"/>
      <c r="U18" s="121"/>
      <c r="V18" s="48"/>
      <c r="W18" s="48"/>
      <c r="X18" s="48"/>
      <c r="Y18" s="48"/>
      <c r="Z18" s="48"/>
      <c r="AB18" s="4"/>
      <c r="AC18" s="228"/>
      <c r="AD18" s="229"/>
      <c r="AE18" s="4"/>
      <c r="AF18" s="4"/>
      <c r="AG18" s="230"/>
      <c r="AJ18" s="227"/>
      <c r="AK18" s="107"/>
      <c r="AL18" s="48"/>
      <c r="AM18" s="48"/>
      <c r="AN18" s="121"/>
    </row>
    <row r="19" spans="1:40">
      <c r="A19" s="150">
        <f t="shared" si="2"/>
        <v>43814</v>
      </c>
      <c r="B19" s="274">
        <f t="shared" si="3"/>
        <v>60.923999999999999</v>
      </c>
      <c r="C19" s="1189">
        <v>62.904000000000003</v>
      </c>
      <c r="D19" s="932">
        <v>0</v>
      </c>
      <c r="E19" s="285">
        <f t="shared" si="0"/>
        <v>1.980000000000004</v>
      </c>
      <c r="F19" s="275">
        <f t="shared" si="4"/>
        <v>12.039</v>
      </c>
      <c r="G19" s="1189">
        <v>12.14</v>
      </c>
      <c r="H19" s="932">
        <v>0</v>
      </c>
      <c r="I19" s="740">
        <f t="shared" si="1"/>
        <v>0.10100000000000087</v>
      </c>
      <c r="J19" s="421">
        <f t="shared" si="5"/>
        <v>0</v>
      </c>
      <c r="K19" s="231"/>
      <c r="L19" s="231"/>
      <c r="M19" s="226">
        <f t="shared" si="6"/>
        <v>0</v>
      </c>
      <c r="O19" s="208"/>
      <c r="P19" s="392"/>
      <c r="Q19" s="227"/>
      <c r="R19" s="143"/>
      <c r="S19" s="48"/>
      <c r="T19" s="48"/>
      <c r="U19" s="121"/>
      <c r="V19" s="48"/>
      <c r="W19" s="48"/>
      <c r="X19" s="48"/>
      <c r="Y19" s="48"/>
      <c r="Z19" s="48"/>
      <c r="AB19" s="4"/>
      <c r="AC19" s="228"/>
      <c r="AD19" s="229"/>
      <c r="AE19" s="4"/>
      <c r="AF19" s="4"/>
      <c r="AG19" s="230"/>
      <c r="AJ19" s="227"/>
      <c r="AK19" s="107"/>
      <c r="AL19" s="48"/>
      <c r="AM19" s="48"/>
      <c r="AN19" s="121"/>
    </row>
    <row r="20" spans="1:40">
      <c r="A20" s="150">
        <f t="shared" si="2"/>
        <v>43815</v>
      </c>
      <c r="B20" s="274">
        <f t="shared" si="3"/>
        <v>62.904000000000003</v>
      </c>
      <c r="C20" s="1189">
        <v>44.112000000000002</v>
      </c>
      <c r="D20" s="932">
        <v>36.840000000000003</v>
      </c>
      <c r="E20" s="285">
        <f t="shared" si="0"/>
        <v>18.047999999999995</v>
      </c>
      <c r="F20" s="275">
        <f t="shared" si="4"/>
        <v>12.14</v>
      </c>
      <c r="G20" s="1190">
        <v>12.571999999999999</v>
      </c>
      <c r="H20" s="934">
        <v>0</v>
      </c>
      <c r="I20" s="740">
        <f t="shared" si="1"/>
        <v>0.43199999999999861</v>
      </c>
      <c r="J20" s="421">
        <f t="shared" si="5"/>
        <v>0</v>
      </c>
      <c r="K20" s="231"/>
      <c r="L20" s="231"/>
      <c r="M20" s="226">
        <f t="shared" si="6"/>
        <v>0</v>
      </c>
      <c r="O20" s="208"/>
      <c r="Q20" s="227"/>
      <c r="R20" s="143"/>
      <c r="S20" s="48"/>
      <c r="T20" s="48"/>
      <c r="U20" s="121"/>
      <c r="V20" s="48"/>
      <c r="W20" s="48"/>
      <c r="X20" s="48"/>
      <c r="Y20" s="48"/>
      <c r="Z20" s="48"/>
      <c r="AB20" s="4"/>
      <c r="AC20" s="228"/>
      <c r="AD20" s="229"/>
      <c r="AE20" s="4"/>
      <c r="AF20" s="4"/>
      <c r="AG20" s="230"/>
      <c r="AJ20" s="227"/>
      <c r="AK20" s="107"/>
      <c r="AL20" s="48"/>
      <c r="AM20" s="48"/>
      <c r="AN20" s="121"/>
    </row>
    <row r="21" spans="1:40">
      <c r="A21" s="150">
        <f t="shared" si="2"/>
        <v>43816</v>
      </c>
      <c r="B21" s="274">
        <f t="shared" si="3"/>
        <v>44.112000000000002</v>
      </c>
      <c r="C21" s="1189">
        <v>25.245999999999999</v>
      </c>
      <c r="D21" s="932">
        <v>38.89</v>
      </c>
      <c r="E21" s="285">
        <f t="shared" si="0"/>
        <v>20.023999999999994</v>
      </c>
      <c r="F21" s="275">
        <f t="shared" si="4"/>
        <v>12.571999999999999</v>
      </c>
      <c r="G21" s="1190">
        <v>12.99</v>
      </c>
      <c r="H21" s="934">
        <v>0</v>
      </c>
      <c r="I21" s="740">
        <f t="shared" si="1"/>
        <v>0.41800000000000104</v>
      </c>
      <c r="J21" s="421">
        <f t="shared" si="5"/>
        <v>0</v>
      </c>
      <c r="K21" s="231"/>
      <c r="L21" s="231"/>
      <c r="M21" s="226">
        <f t="shared" si="6"/>
        <v>0</v>
      </c>
      <c r="O21" s="208"/>
      <c r="Q21" s="227"/>
      <c r="R21" s="143"/>
      <c r="S21" s="48"/>
      <c r="T21" s="48"/>
      <c r="U21" s="121"/>
      <c r="V21" s="48"/>
      <c r="W21" s="48"/>
      <c r="X21" s="48"/>
      <c r="Y21" s="48"/>
      <c r="Z21" s="48"/>
      <c r="AB21" s="4"/>
      <c r="AC21" s="228"/>
      <c r="AD21" s="229"/>
      <c r="AE21" s="4"/>
      <c r="AF21" s="4"/>
      <c r="AG21" s="230"/>
      <c r="AJ21" s="227"/>
      <c r="AK21" s="107"/>
      <c r="AL21" s="48"/>
      <c r="AM21" s="48"/>
      <c r="AN21" s="121"/>
    </row>
    <row r="22" spans="1:40">
      <c r="A22" s="150">
        <f t="shared" si="2"/>
        <v>43817</v>
      </c>
      <c r="B22" s="274">
        <f t="shared" si="3"/>
        <v>25.245999999999999</v>
      </c>
      <c r="C22" s="1189">
        <v>26.655000000000001</v>
      </c>
      <c r="D22" s="932">
        <v>16.57</v>
      </c>
      <c r="E22" s="285">
        <f t="shared" si="0"/>
        <v>17.979000000000003</v>
      </c>
      <c r="F22" s="275">
        <f t="shared" si="4"/>
        <v>12.99</v>
      </c>
      <c r="G22" s="1190">
        <v>13.377000000000001</v>
      </c>
      <c r="H22" s="934">
        <v>0</v>
      </c>
      <c r="I22" s="740">
        <f t="shared" si="1"/>
        <v>0.38700000000000045</v>
      </c>
      <c r="J22" s="421">
        <f t="shared" si="5"/>
        <v>0</v>
      </c>
      <c r="K22" s="231"/>
      <c r="L22" s="231"/>
      <c r="M22" s="226">
        <f t="shared" si="6"/>
        <v>0</v>
      </c>
      <c r="O22" s="208"/>
      <c r="Q22" s="227"/>
      <c r="R22" s="143"/>
      <c r="S22" s="48"/>
      <c r="T22" s="48"/>
      <c r="U22" s="121"/>
      <c r="V22" s="48"/>
      <c r="W22" s="48"/>
      <c r="X22" s="48"/>
      <c r="Y22" s="48"/>
      <c r="Z22" s="48"/>
      <c r="AB22" s="4"/>
      <c r="AC22" s="228"/>
      <c r="AD22" s="229"/>
      <c r="AE22" s="4"/>
      <c r="AF22" s="4"/>
      <c r="AG22" s="230"/>
      <c r="AJ22" s="227"/>
      <c r="AK22" s="107"/>
      <c r="AL22" s="48"/>
      <c r="AM22" s="48"/>
      <c r="AN22" s="121"/>
    </row>
    <row r="23" spans="1:40">
      <c r="A23" s="150">
        <f t="shared" si="2"/>
        <v>43818</v>
      </c>
      <c r="B23" s="274">
        <f t="shared" si="3"/>
        <v>26.655000000000001</v>
      </c>
      <c r="C23" s="1189">
        <v>29.372</v>
      </c>
      <c r="D23" s="932">
        <v>16.62</v>
      </c>
      <c r="E23" s="285">
        <f t="shared" si="0"/>
        <v>19.337000000000003</v>
      </c>
      <c r="F23" s="275">
        <f t="shared" si="4"/>
        <v>13.377000000000001</v>
      </c>
      <c r="G23" s="1190">
        <v>13.788</v>
      </c>
      <c r="H23" s="934">
        <v>0</v>
      </c>
      <c r="I23" s="740">
        <f t="shared" si="1"/>
        <v>0.41099999999999959</v>
      </c>
      <c r="J23" s="421">
        <f t="shared" si="5"/>
        <v>0</v>
      </c>
      <c r="K23" s="231"/>
      <c r="L23" s="231"/>
      <c r="M23" s="226">
        <f t="shared" si="6"/>
        <v>0</v>
      </c>
      <c r="O23" s="208"/>
      <c r="Q23" s="227"/>
      <c r="R23" s="143"/>
      <c r="S23" s="48"/>
      <c r="T23" s="48"/>
      <c r="U23" s="121"/>
      <c r="V23" s="48"/>
      <c r="W23" s="48"/>
      <c r="X23" s="48"/>
      <c r="Y23" s="48"/>
      <c r="Z23" s="48"/>
      <c r="AB23" s="4"/>
      <c r="AC23" s="228"/>
      <c r="AD23" s="229"/>
      <c r="AE23" s="4"/>
      <c r="AF23" s="4"/>
      <c r="AG23" s="230"/>
      <c r="AJ23" s="227"/>
      <c r="AK23" s="107"/>
      <c r="AL23" s="48"/>
      <c r="AM23" s="48"/>
      <c r="AN23" s="121"/>
    </row>
    <row r="24" spans="1:40">
      <c r="A24" s="150">
        <f t="shared" si="2"/>
        <v>43819</v>
      </c>
      <c r="B24" s="274">
        <f t="shared" si="3"/>
        <v>29.372</v>
      </c>
      <c r="C24" s="1189">
        <v>31.986999999999998</v>
      </c>
      <c r="D24" s="932">
        <v>16.61</v>
      </c>
      <c r="E24" s="285">
        <f t="shared" si="0"/>
        <v>19.224999999999994</v>
      </c>
      <c r="F24" s="275">
        <f t="shared" si="4"/>
        <v>13.788</v>
      </c>
      <c r="G24" s="1190">
        <v>14.209</v>
      </c>
      <c r="H24" s="934">
        <v>0</v>
      </c>
      <c r="I24" s="740">
        <f t="shared" si="1"/>
        <v>0.42099999999999937</v>
      </c>
      <c r="J24" s="421">
        <f t="shared" si="5"/>
        <v>0</v>
      </c>
      <c r="K24" s="231"/>
      <c r="L24" s="231"/>
      <c r="M24" s="226">
        <f t="shared" si="6"/>
        <v>0</v>
      </c>
      <c r="O24" s="208"/>
      <c r="Q24" s="227"/>
      <c r="R24" s="143"/>
      <c r="S24" s="48"/>
      <c r="T24" s="48"/>
      <c r="U24" s="121"/>
      <c r="V24" s="48"/>
      <c r="W24" s="48"/>
      <c r="X24" s="48"/>
      <c r="Y24" s="48"/>
      <c r="Z24" s="48"/>
      <c r="AB24" s="4"/>
      <c r="AC24" s="228"/>
      <c r="AD24" s="229"/>
      <c r="AE24" s="4"/>
      <c r="AF24" s="4"/>
      <c r="AG24" s="230"/>
      <c r="AJ24" s="227"/>
      <c r="AK24" s="107"/>
      <c r="AL24" s="48"/>
      <c r="AM24" s="48"/>
      <c r="AN24" s="121"/>
    </row>
    <row r="25" spans="1:40">
      <c r="A25" s="150">
        <f t="shared" si="2"/>
        <v>43820</v>
      </c>
      <c r="B25" s="274">
        <f t="shared" si="3"/>
        <v>31.986999999999998</v>
      </c>
      <c r="C25" s="1189">
        <v>29.975000000000001</v>
      </c>
      <c r="D25" s="932">
        <v>22.12</v>
      </c>
      <c r="E25" s="285">
        <f t="shared" si="0"/>
        <v>20.108000000000001</v>
      </c>
      <c r="F25" s="275">
        <f t="shared" si="4"/>
        <v>14.209</v>
      </c>
      <c r="G25" s="1190">
        <v>14.619</v>
      </c>
      <c r="H25" s="934">
        <v>0</v>
      </c>
      <c r="I25" s="740">
        <f t="shared" si="1"/>
        <v>0.41000000000000014</v>
      </c>
      <c r="J25" s="421">
        <f t="shared" si="5"/>
        <v>0</v>
      </c>
      <c r="K25" s="231"/>
      <c r="L25" s="231"/>
      <c r="M25" s="226">
        <f t="shared" si="6"/>
        <v>0</v>
      </c>
      <c r="O25" s="208"/>
      <c r="Q25" s="227"/>
      <c r="R25" s="143"/>
      <c r="S25" s="48"/>
      <c r="T25" s="48"/>
      <c r="U25" s="121"/>
      <c r="V25" s="48"/>
      <c r="W25" s="48"/>
      <c r="X25" s="48"/>
      <c r="Y25" s="48"/>
      <c r="Z25" s="48"/>
      <c r="AB25" s="4"/>
      <c r="AC25" s="228"/>
      <c r="AD25" s="229"/>
      <c r="AE25" s="4"/>
      <c r="AF25" s="4"/>
      <c r="AG25" s="230"/>
      <c r="AJ25" s="227"/>
      <c r="AK25" s="107"/>
      <c r="AL25" s="48"/>
      <c r="AM25" s="48"/>
      <c r="AN25" s="121"/>
    </row>
    <row r="26" spans="1:40">
      <c r="A26" s="150">
        <f t="shared" si="2"/>
        <v>43821</v>
      </c>
      <c r="B26" s="274">
        <f t="shared" si="3"/>
        <v>29.975000000000001</v>
      </c>
      <c r="C26" s="1189">
        <v>55.893000000000001</v>
      </c>
      <c r="D26" s="932">
        <v>0</v>
      </c>
      <c r="E26" s="285">
        <f t="shared" si="0"/>
        <v>25.917999999999999</v>
      </c>
      <c r="F26" s="275">
        <f t="shared" si="4"/>
        <v>14.619</v>
      </c>
      <c r="G26" s="1190">
        <v>15.028</v>
      </c>
      <c r="H26" s="934">
        <v>0</v>
      </c>
      <c r="I26" s="740">
        <f t="shared" si="1"/>
        <v>0.4090000000000007</v>
      </c>
      <c r="J26" s="421">
        <f t="shared" si="5"/>
        <v>0</v>
      </c>
      <c r="K26" s="231"/>
      <c r="L26" s="231"/>
      <c r="M26" s="226">
        <f t="shared" si="6"/>
        <v>0</v>
      </c>
      <c r="O26" s="208"/>
      <c r="Q26" s="227"/>
      <c r="R26" s="143"/>
      <c r="S26" s="48"/>
      <c r="T26" s="48"/>
      <c r="U26" s="121"/>
      <c r="V26" s="48"/>
      <c r="W26" s="48"/>
      <c r="X26" s="48"/>
      <c r="Y26" s="48"/>
      <c r="Z26" s="48"/>
      <c r="AB26" s="4"/>
      <c r="AC26" s="228"/>
      <c r="AD26" s="229"/>
      <c r="AE26" s="4"/>
      <c r="AF26" s="4"/>
      <c r="AG26" s="230"/>
      <c r="AJ26" s="227"/>
      <c r="AK26" s="107"/>
      <c r="AL26" s="48"/>
      <c r="AM26" s="48"/>
      <c r="AN26" s="121"/>
    </row>
    <row r="27" spans="1:40">
      <c r="A27" s="150">
        <f t="shared" si="2"/>
        <v>43822</v>
      </c>
      <c r="B27" s="274">
        <f t="shared" si="3"/>
        <v>55.893000000000001</v>
      </c>
      <c r="C27" s="1189">
        <v>46.863999999999997</v>
      </c>
      <c r="D27" s="932">
        <v>33.19</v>
      </c>
      <c r="E27" s="285">
        <f t="shared" si="0"/>
        <v>24.161000000000001</v>
      </c>
      <c r="F27" s="275">
        <f t="shared" si="4"/>
        <v>15.028</v>
      </c>
      <c r="G27" s="1190">
        <v>15.369</v>
      </c>
      <c r="H27" s="934">
        <v>0</v>
      </c>
      <c r="I27" s="740">
        <f t="shared" si="1"/>
        <v>0.3409999999999993</v>
      </c>
      <c r="J27" s="421">
        <f t="shared" si="5"/>
        <v>0</v>
      </c>
      <c r="K27" s="231"/>
      <c r="L27" s="231"/>
      <c r="M27" s="226">
        <f t="shared" si="6"/>
        <v>0</v>
      </c>
      <c r="O27" s="208"/>
      <c r="Q27" s="227"/>
      <c r="R27" s="143"/>
      <c r="S27" s="48"/>
      <c r="T27" s="48"/>
      <c r="U27" s="121"/>
      <c r="V27" s="48"/>
      <c r="W27" s="48"/>
      <c r="X27" s="48"/>
      <c r="Y27" s="48"/>
      <c r="Z27" s="48"/>
      <c r="AB27" s="4"/>
      <c r="AC27" s="228"/>
      <c r="AD27" s="229"/>
      <c r="AE27" s="4"/>
      <c r="AF27" s="4"/>
      <c r="AG27" s="230"/>
      <c r="AJ27" s="227"/>
      <c r="AK27" s="107"/>
      <c r="AL27" s="48"/>
      <c r="AM27" s="48"/>
      <c r="AN27" s="121"/>
    </row>
    <row r="28" spans="1:40">
      <c r="A28" s="150">
        <f t="shared" si="2"/>
        <v>43823</v>
      </c>
      <c r="B28" s="274">
        <f t="shared" si="3"/>
        <v>46.863999999999997</v>
      </c>
      <c r="C28" s="1189">
        <v>28.076000000000001</v>
      </c>
      <c r="D28" s="932">
        <v>16.59</v>
      </c>
      <c r="E28" s="285">
        <f t="shared" si="0"/>
        <v>-2.1980000000000004</v>
      </c>
      <c r="F28" s="275">
        <f t="shared" si="4"/>
        <v>15.369</v>
      </c>
      <c r="G28" s="1190">
        <v>3.8580000000000001</v>
      </c>
      <c r="H28" s="934">
        <v>11.5</v>
      </c>
      <c r="I28" s="740">
        <f t="shared" si="1"/>
        <v>-1.0999999999999233E-2</v>
      </c>
      <c r="J28" s="421">
        <f t="shared" si="5"/>
        <v>0</v>
      </c>
      <c r="K28" s="231"/>
      <c r="L28" s="231"/>
      <c r="M28" s="226">
        <f t="shared" si="6"/>
        <v>0</v>
      </c>
      <c r="O28" s="208"/>
      <c r="Q28" s="227"/>
      <c r="R28" s="143"/>
      <c r="S28" s="48"/>
      <c r="T28" s="48"/>
      <c r="U28" s="121"/>
      <c r="V28" s="48"/>
      <c r="W28" s="48"/>
      <c r="X28" s="48"/>
      <c r="Y28" s="48"/>
      <c r="Z28" s="48"/>
      <c r="AB28" s="4"/>
      <c r="AC28" s="228"/>
      <c r="AD28" s="229"/>
      <c r="AE28" s="4"/>
      <c r="AF28" s="4"/>
      <c r="AG28" s="230"/>
      <c r="AJ28" s="227"/>
      <c r="AK28" s="107"/>
      <c r="AL28" s="48"/>
      <c r="AM28" s="48"/>
      <c r="AN28" s="121"/>
    </row>
    <row r="29" spans="1:40">
      <c r="A29" s="150">
        <f t="shared" si="2"/>
        <v>43824</v>
      </c>
      <c r="B29" s="274">
        <f t="shared" si="3"/>
        <v>28.076000000000001</v>
      </c>
      <c r="C29" s="1189">
        <v>42.009</v>
      </c>
      <c r="D29" s="932">
        <v>0</v>
      </c>
      <c r="E29" s="285">
        <f t="shared" si="0"/>
        <v>13.933</v>
      </c>
      <c r="F29" s="275">
        <f t="shared" si="4"/>
        <v>3.8580000000000001</v>
      </c>
      <c r="G29" s="1190">
        <v>4.0759999999999996</v>
      </c>
      <c r="H29" s="934">
        <v>0</v>
      </c>
      <c r="I29" s="740">
        <f t="shared" si="1"/>
        <v>0.21799999999999953</v>
      </c>
      <c r="J29" s="421">
        <f t="shared" si="5"/>
        <v>0</v>
      </c>
      <c r="K29" s="231"/>
      <c r="L29" s="231"/>
      <c r="M29" s="226">
        <f t="shared" si="6"/>
        <v>0</v>
      </c>
      <c r="O29" s="208"/>
      <c r="Q29" s="227"/>
      <c r="R29" s="143"/>
      <c r="S29" s="48"/>
      <c r="T29" s="48"/>
      <c r="U29" s="121"/>
      <c r="V29" s="48"/>
      <c r="W29" s="48"/>
      <c r="X29" s="48"/>
      <c r="Y29" s="48"/>
      <c r="Z29" s="48"/>
      <c r="AB29" s="4"/>
      <c r="AC29" s="228"/>
      <c r="AD29" s="229"/>
      <c r="AE29" s="4"/>
      <c r="AF29" s="4"/>
      <c r="AG29" s="230"/>
      <c r="AJ29" s="227"/>
      <c r="AK29" s="107"/>
      <c r="AL29" s="48"/>
      <c r="AM29" s="48"/>
      <c r="AN29" s="121"/>
    </row>
    <row r="30" spans="1:40">
      <c r="A30" s="150">
        <f t="shared" si="2"/>
        <v>43825</v>
      </c>
      <c r="B30" s="274">
        <f t="shared" si="3"/>
        <v>42.009</v>
      </c>
      <c r="C30" s="1189">
        <v>38.834000000000003</v>
      </c>
      <c r="D30" s="932">
        <v>27.64</v>
      </c>
      <c r="E30" s="285">
        <f t="shared" si="0"/>
        <v>24.465000000000003</v>
      </c>
      <c r="F30" s="275">
        <f t="shared" si="4"/>
        <v>4.0759999999999996</v>
      </c>
      <c r="G30" s="1190">
        <v>4.4770000000000003</v>
      </c>
      <c r="H30" s="934">
        <v>0</v>
      </c>
      <c r="I30" s="740">
        <f t="shared" si="1"/>
        <v>0.40100000000000069</v>
      </c>
      <c r="J30" s="421">
        <f t="shared" si="5"/>
        <v>0</v>
      </c>
      <c r="K30" s="231"/>
      <c r="L30" s="231"/>
      <c r="M30" s="226">
        <f t="shared" si="6"/>
        <v>0</v>
      </c>
      <c r="O30" s="208"/>
      <c r="Q30" s="107"/>
      <c r="R30" s="143"/>
      <c r="S30" s="48"/>
      <c r="T30" s="48"/>
      <c r="U30" s="121"/>
      <c r="V30" s="48"/>
      <c r="W30" s="48"/>
      <c r="X30" s="48"/>
      <c r="Y30" s="48"/>
      <c r="Z30" s="48"/>
      <c r="AB30" s="4"/>
      <c r="AC30" s="228"/>
      <c r="AD30" s="229"/>
      <c r="AE30" s="4"/>
      <c r="AF30" s="4"/>
      <c r="AG30" s="230"/>
      <c r="AJ30" s="227"/>
      <c r="AK30" s="107"/>
      <c r="AL30" s="48"/>
      <c r="AM30" s="48"/>
      <c r="AN30" s="121"/>
    </row>
    <row r="31" spans="1:40">
      <c r="A31" s="150">
        <f t="shared" si="2"/>
        <v>43826</v>
      </c>
      <c r="B31" s="274">
        <f t="shared" si="3"/>
        <v>38.834000000000003</v>
      </c>
      <c r="C31" s="1189">
        <v>36.006999999999998</v>
      </c>
      <c r="D31" s="932">
        <v>27.58</v>
      </c>
      <c r="E31" s="285">
        <f t="shared" si="0"/>
        <v>24.752999999999993</v>
      </c>
      <c r="F31" s="275">
        <f t="shared" si="4"/>
        <v>4.4770000000000003</v>
      </c>
      <c r="G31" s="1190">
        <v>4.8739999999999997</v>
      </c>
      <c r="H31" s="934">
        <v>0</v>
      </c>
      <c r="I31" s="740">
        <f t="shared" si="1"/>
        <v>0.39699999999999935</v>
      </c>
      <c r="J31" s="421">
        <f t="shared" si="5"/>
        <v>0</v>
      </c>
      <c r="K31" s="231"/>
      <c r="L31" s="231"/>
      <c r="M31" s="226">
        <f t="shared" si="6"/>
        <v>0</v>
      </c>
      <c r="O31" s="208"/>
      <c r="Q31" s="227"/>
      <c r="R31" s="143"/>
      <c r="S31" s="48"/>
      <c r="T31" s="48"/>
      <c r="U31" s="121"/>
      <c r="V31" s="48"/>
      <c r="W31" s="48"/>
      <c r="X31" s="48"/>
      <c r="Y31" s="48"/>
      <c r="Z31" s="48"/>
      <c r="AB31" s="4"/>
      <c r="AC31" s="228"/>
      <c r="AD31" s="229"/>
      <c r="AE31" s="4"/>
      <c r="AF31" s="4"/>
      <c r="AG31" s="230"/>
      <c r="AJ31" s="227"/>
      <c r="AK31" s="107"/>
      <c r="AL31" s="48"/>
      <c r="AM31" s="48"/>
      <c r="AN31" s="121"/>
    </row>
    <row r="32" spans="1:40">
      <c r="A32" s="150">
        <f t="shared" si="2"/>
        <v>43827</v>
      </c>
      <c r="B32" s="274">
        <f t="shared" si="3"/>
        <v>36.006999999999998</v>
      </c>
      <c r="C32" s="1189">
        <v>35.874000000000002</v>
      </c>
      <c r="D32" s="933">
        <v>27.57</v>
      </c>
      <c r="E32" s="285">
        <f t="shared" si="0"/>
        <v>27.437000000000005</v>
      </c>
      <c r="F32" s="275">
        <f t="shared" si="4"/>
        <v>4.8739999999999997</v>
      </c>
      <c r="G32" s="1190">
        <v>5.2939999999999996</v>
      </c>
      <c r="H32" s="934">
        <v>0</v>
      </c>
      <c r="I32" s="740">
        <f>H32+G32-F32</f>
        <v>0.41999999999999993</v>
      </c>
      <c r="J32" s="421">
        <f t="shared" si="5"/>
        <v>0</v>
      </c>
      <c r="K32" s="232"/>
      <c r="L32" s="232"/>
      <c r="M32" s="226">
        <f t="shared" si="6"/>
        <v>0</v>
      </c>
      <c r="O32" s="208"/>
      <c r="Q32" s="227"/>
      <c r="R32" s="143"/>
      <c r="S32" s="48"/>
      <c r="T32" s="48"/>
      <c r="U32" s="121"/>
      <c r="V32" s="48"/>
      <c r="W32" s="48"/>
      <c r="X32" s="48"/>
      <c r="Y32" s="48"/>
      <c r="Z32" s="48"/>
      <c r="AB32" s="4"/>
      <c r="AC32" s="228"/>
      <c r="AD32" s="229"/>
      <c r="AE32" s="4"/>
      <c r="AF32" s="4"/>
      <c r="AG32" s="230"/>
      <c r="AJ32" s="227"/>
      <c r="AK32" s="107"/>
      <c r="AL32" s="48"/>
      <c r="AM32" s="48"/>
      <c r="AN32" s="121"/>
    </row>
    <row r="33" spans="1:40" s="295" customFormat="1">
      <c r="A33" s="732">
        <f t="shared" si="2"/>
        <v>43828</v>
      </c>
      <c r="B33" s="737">
        <f t="shared" si="3"/>
        <v>35.874000000000002</v>
      </c>
      <c r="C33" s="1189">
        <v>68.054000000000002</v>
      </c>
      <c r="D33" s="933">
        <v>0</v>
      </c>
      <c r="E33" s="738">
        <f t="shared" ref="E33:E35" si="7">D33+C33-B33</f>
        <v>32.18</v>
      </c>
      <c r="F33" s="739">
        <f t="shared" si="4"/>
        <v>5.2939999999999996</v>
      </c>
      <c r="G33" s="1190">
        <v>5.7060000000000004</v>
      </c>
      <c r="H33" s="935">
        <v>0</v>
      </c>
      <c r="I33" s="740">
        <f t="shared" si="1"/>
        <v>0.41200000000000081</v>
      </c>
      <c r="J33" s="421">
        <f t="shared" si="5"/>
        <v>0</v>
      </c>
      <c r="K33" s="232"/>
      <c r="L33" s="232"/>
      <c r="M33" s="226">
        <f t="shared" si="6"/>
        <v>0</v>
      </c>
      <c r="O33" s="208"/>
      <c r="Q33" s="365"/>
      <c r="R33" s="741"/>
      <c r="S33" s="307"/>
      <c r="T33" s="307"/>
      <c r="U33" s="362"/>
      <c r="V33" s="307"/>
      <c r="W33" s="307"/>
      <c r="X33" s="307"/>
      <c r="Y33" s="307"/>
      <c r="Z33" s="307"/>
      <c r="AB33" s="299"/>
      <c r="AC33" s="374"/>
      <c r="AD33" s="396"/>
      <c r="AE33" s="299"/>
      <c r="AF33" s="299"/>
      <c r="AG33" s="375"/>
      <c r="AJ33" s="365"/>
      <c r="AK33" s="364"/>
      <c r="AL33" s="307"/>
      <c r="AM33" s="307"/>
      <c r="AN33" s="362"/>
    </row>
    <row r="34" spans="1:40" s="295" customFormat="1" ht="15.75" customHeight="1">
      <c r="A34" s="732">
        <f t="shared" si="2"/>
        <v>43829</v>
      </c>
      <c r="B34" s="737">
        <f t="shared" ref="B34:B35" si="8">C33</f>
        <v>68.054000000000002</v>
      </c>
      <c r="C34" s="1189">
        <v>57.499000000000002</v>
      </c>
      <c r="D34" s="933">
        <v>36.65</v>
      </c>
      <c r="E34" s="738">
        <f t="shared" si="7"/>
        <v>26.094999999999999</v>
      </c>
      <c r="F34" s="739">
        <f t="shared" si="4"/>
        <v>5.7060000000000004</v>
      </c>
      <c r="G34" s="1190">
        <v>6.133</v>
      </c>
      <c r="H34" s="935">
        <v>0</v>
      </c>
      <c r="I34" s="740">
        <f t="shared" si="1"/>
        <v>0.4269999999999996</v>
      </c>
      <c r="J34" s="421">
        <f t="shared" si="5"/>
        <v>0</v>
      </c>
      <c r="K34" s="232"/>
      <c r="L34" s="232"/>
      <c r="M34" s="226">
        <f t="shared" si="6"/>
        <v>0</v>
      </c>
      <c r="O34" s="208" t="s">
        <v>618</v>
      </c>
      <c r="P34" s="295" t="s">
        <v>619</v>
      </c>
      <c r="Q34" s="1352">
        <v>0.28094000000000002</v>
      </c>
      <c r="R34" s="741" t="s">
        <v>622</v>
      </c>
      <c r="S34" s="307"/>
      <c r="T34" s="307"/>
      <c r="U34" s="362"/>
      <c r="V34" s="307"/>
      <c r="W34" s="307"/>
      <c r="X34" s="307"/>
      <c r="Y34" s="307"/>
      <c r="Z34" s="307"/>
      <c r="AB34" s="299"/>
      <c r="AC34" s="374"/>
      <c r="AD34" s="396"/>
      <c r="AE34" s="299"/>
      <c r="AF34" s="299"/>
      <c r="AG34" s="375"/>
      <c r="AJ34" s="365"/>
      <c r="AK34" s="364"/>
      <c r="AL34" s="307"/>
      <c r="AM34" s="307"/>
      <c r="AN34" s="362"/>
    </row>
    <row r="35" spans="1:40" s="295" customFormat="1" ht="15.75" customHeight="1" outlineLevel="1" thickBot="1">
      <c r="A35" s="732">
        <f t="shared" si="2"/>
        <v>43830</v>
      </c>
      <c r="B35" s="737">
        <f t="shared" si="8"/>
        <v>57.499000000000002</v>
      </c>
      <c r="C35" s="1540">
        <v>86.988</v>
      </c>
      <c r="D35" s="933">
        <v>0</v>
      </c>
      <c r="E35" s="738">
        <f t="shared" si="7"/>
        <v>29.488999999999997</v>
      </c>
      <c r="F35" s="739">
        <f t="shared" si="4"/>
        <v>6.133</v>
      </c>
      <c r="G35" s="1541">
        <v>6.6909999999999998</v>
      </c>
      <c r="H35" s="935">
        <v>0</v>
      </c>
      <c r="I35" s="740">
        <f>H35+G35-F35</f>
        <v>0.55799999999999983</v>
      </c>
      <c r="J35" s="421">
        <f t="shared" si="5"/>
        <v>0</v>
      </c>
      <c r="K35" s="747"/>
      <c r="L35" s="747"/>
      <c r="M35" s="748">
        <f t="shared" si="6"/>
        <v>0</v>
      </c>
      <c r="P35" s="1347"/>
      <c r="Q35" s="539"/>
      <c r="R35" s="363"/>
      <c r="S35" s="307"/>
      <c r="T35" s="307"/>
      <c r="U35" s="362"/>
      <c r="V35" s="307"/>
      <c r="W35" s="307"/>
      <c r="X35" s="307"/>
      <c r="Y35" s="307"/>
      <c r="Z35" s="307"/>
      <c r="AB35" s="299"/>
      <c r="AC35" s="374"/>
      <c r="AD35" s="749"/>
      <c r="AE35" s="299"/>
      <c r="AF35" s="299"/>
      <c r="AG35" s="375"/>
      <c r="AJ35" s="365"/>
      <c r="AK35" s="364"/>
      <c r="AL35" s="307"/>
      <c r="AM35" s="307"/>
      <c r="AN35" s="362"/>
    </row>
    <row r="36" spans="1:40" s="295" customFormat="1">
      <c r="B36" s="200"/>
      <c r="C36" s="195"/>
      <c r="D36" s="200"/>
      <c r="E36" s="200"/>
      <c r="F36" s="200"/>
      <c r="G36" s="1192"/>
      <c r="H36" s="200"/>
      <c r="I36" s="200"/>
      <c r="J36" s="200"/>
      <c r="K36" s="200"/>
      <c r="O36" s="1348">
        <f>H15</f>
        <v>0</v>
      </c>
      <c r="Q36" s="365"/>
      <c r="R36" s="363"/>
      <c r="S36" s="307"/>
      <c r="T36" s="307"/>
      <c r="U36" s="362"/>
      <c r="V36" s="307"/>
      <c r="W36" s="307"/>
      <c r="X36" s="307"/>
      <c r="Y36" s="307"/>
      <c r="Z36" s="307"/>
      <c r="AA36" s="299"/>
      <c r="AB36" s="299"/>
      <c r="AC36" s="374"/>
      <c r="AD36" s="396"/>
      <c r="AE36" s="299"/>
      <c r="AF36" s="299"/>
      <c r="AG36" s="375"/>
      <c r="AJ36" s="365"/>
      <c r="AK36" s="364"/>
      <c r="AL36" s="307"/>
      <c r="AM36" s="307"/>
      <c r="AN36" s="362"/>
    </row>
    <row r="37" spans="1:40" ht="15.75" thickBot="1">
      <c r="C37" s="234"/>
      <c r="D37" s="659">
        <f>IF(DAY($A$35)=31,SUM(D5:D35),IF(DAY($A$35)=1,SUM(D5:D34),IF(DAY($A$35)=2,SUM(D5:D34),SUM(D5:D34))))</f>
        <v>608.40000000000009</v>
      </c>
      <c r="E37" s="235">
        <f>IF(DAY($A$35)=31,SUM(E5:E35),IF(DAY($A$35)=1,SUM(E5:E34),IF(DAY($A$35)=2,SUM(E5:E33),SUM(E5:E32))))</f>
        <v>646.83400000000006</v>
      </c>
      <c r="F37" s="234"/>
      <c r="G37" s="234"/>
      <c r="H37" s="235">
        <f>IF(DAY($A$35)=31,SUM(H5:H35),IF(DAY($A$35)=1,SUM(H5:H34),IF(DAY($A$35)=2,SUM(H5:H33),SUM(H5:H32))))</f>
        <v>23</v>
      </c>
      <c r="I37" s="235">
        <f>IF(DAY($A$35)=31,SUM(I5:I35),IF(DAY($A$35)=1,SUM(I5:I34),IF(DAY($A$35)=2,SUM(I5:I33),SUM(I5:I32))))</f>
        <v>17.866</v>
      </c>
      <c r="J37" s="189"/>
      <c r="K37" s="189"/>
      <c r="L37" s="236">
        <f>IF(DAY($A$35)=31,SUM(L5:L35),IF(DAY($A$35)=1,SUM(L5:L34),IF(DAY($A$35)=2,SUM(L5:L33),SUM(L5:L32))))</f>
        <v>0</v>
      </c>
      <c r="M37" s="236">
        <f>SUM(M5:M35)</f>
        <v>0</v>
      </c>
      <c r="O37" s="234"/>
      <c r="P37" s="4"/>
      <c r="Q37" s="237"/>
      <c r="R37" s="233"/>
      <c r="S37" s="4"/>
      <c r="T37" s="4"/>
      <c r="U37" s="230"/>
      <c r="V37" s="4"/>
      <c r="AB37" s="4"/>
      <c r="AC37" s="228"/>
      <c r="AD37" s="4"/>
      <c r="AE37" s="4"/>
      <c r="AF37" s="4"/>
      <c r="AG37" s="230"/>
    </row>
    <row r="38" spans="1:40" ht="15.75" thickTop="1">
      <c r="C38" s="234" t="s">
        <v>121</v>
      </c>
      <c r="D38" s="234">
        <f>B5</f>
        <v>48.554000000000002</v>
      </c>
      <c r="E38" s="234"/>
      <c r="F38" s="234"/>
      <c r="G38" s="234" t="s">
        <v>121</v>
      </c>
      <c r="H38" s="234">
        <f>F5</f>
        <v>11.824999999999999</v>
      </c>
      <c r="I38" s="234"/>
      <c r="J38" s="189"/>
      <c r="K38" s="234" t="s">
        <v>121</v>
      </c>
      <c r="L38" s="189"/>
      <c r="M38" s="189"/>
      <c r="P38" s="48"/>
      <c r="AB38" s="4"/>
      <c r="AC38" s="228"/>
      <c r="AD38" s="4"/>
      <c r="AE38" s="4"/>
      <c r="AF38" s="4"/>
      <c r="AG38" s="230"/>
    </row>
    <row r="39" spans="1:40">
      <c r="C39" s="234" t="s">
        <v>124</v>
      </c>
      <c r="D39" s="234">
        <f>E37</f>
        <v>646.83400000000006</v>
      </c>
      <c r="E39" s="234"/>
      <c r="F39" s="234"/>
      <c r="G39" s="234" t="s">
        <v>124</v>
      </c>
      <c r="H39" s="234">
        <f>I37</f>
        <v>17.866</v>
      </c>
      <c r="I39" s="234"/>
      <c r="J39" s="189"/>
      <c r="K39" s="234" t="s">
        <v>124</v>
      </c>
      <c r="L39" s="189"/>
      <c r="M39" s="189"/>
      <c r="O39" s="1304"/>
      <c r="AB39" s="4"/>
      <c r="AC39" s="4"/>
      <c r="AD39" s="4"/>
      <c r="AE39" s="4"/>
      <c r="AF39" s="4"/>
      <c r="AG39" s="4"/>
    </row>
    <row r="40" spans="1:40">
      <c r="C40" s="234" t="s">
        <v>123</v>
      </c>
      <c r="D40" s="234">
        <f>D38+D39</f>
        <v>695.38800000000003</v>
      </c>
      <c r="E40" s="234"/>
      <c r="F40" s="234"/>
      <c r="G40" s="234" t="s">
        <v>123</v>
      </c>
      <c r="H40" s="234">
        <f>H38+H39</f>
        <v>29.690999999999999</v>
      </c>
      <c r="I40" s="234"/>
      <c r="J40" s="189"/>
      <c r="K40" s="234" t="s">
        <v>123</v>
      </c>
      <c r="L40" s="189"/>
      <c r="M40" s="189"/>
    </row>
    <row r="41" spans="1:40">
      <c r="B41" s="189"/>
      <c r="C41" s="234" t="s">
        <v>122</v>
      </c>
      <c r="D41" s="234">
        <f>D37</f>
        <v>608.40000000000009</v>
      </c>
      <c r="E41" s="234"/>
      <c r="F41" s="234"/>
      <c r="G41" s="234" t="s">
        <v>122</v>
      </c>
      <c r="H41" s="234">
        <f>H37</f>
        <v>23</v>
      </c>
      <c r="I41" s="234"/>
      <c r="K41" s="234" t="s">
        <v>122</v>
      </c>
    </row>
    <row r="42" spans="1:40">
      <c r="B42" s="189"/>
      <c r="C42" s="234" t="s">
        <v>125</v>
      </c>
      <c r="D42" s="234">
        <f>D40-D41</f>
        <v>86.987999999999943</v>
      </c>
      <c r="E42" s="234"/>
      <c r="F42" s="234"/>
      <c r="G42" s="234" t="s">
        <v>125</v>
      </c>
      <c r="H42" s="234">
        <f>H40-H41</f>
        <v>6.6909999999999989</v>
      </c>
      <c r="I42" s="234"/>
      <c r="K42" s="234" t="s">
        <v>125</v>
      </c>
    </row>
    <row r="43" spans="1:40">
      <c r="B43" s="189"/>
      <c r="C43" s="189"/>
    </row>
    <row r="45" spans="1:40">
      <c r="F45" s="203"/>
      <c r="J45" s="203"/>
    </row>
    <row r="46" spans="1:40">
      <c r="F46" s="203"/>
      <c r="J46" s="203"/>
    </row>
  </sheetData>
  <mergeCells count="11">
    <mergeCell ref="AJ3:AN3"/>
    <mergeCell ref="A2:A4"/>
    <mergeCell ref="B2:M2"/>
    <mergeCell ref="Q2:U2"/>
    <mergeCell ref="AC2:AG2"/>
    <mergeCell ref="AJ2:AN2"/>
    <mergeCell ref="B3:D3"/>
    <mergeCell ref="F3:H3"/>
    <mergeCell ref="J3:L3"/>
    <mergeCell ref="Q3:U3"/>
    <mergeCell ref="AC3:AG3"/>
  </mergeCells>
  <pageMargins left="0.16" right="0.27" top="0.75" bottom="0.75" header="0.3" footer="0.3"/>
  <pageSetup paperSize="9" scale="75" orientation="landscape" r:id="rId1"/>
  <customProperties>
    <customPr name="EpmWorksheetKeyString_GU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tabColor rgb="FF00B050"/>
  </sheetPr>
  <dimension ref="A1:BF40"/>
  <sheetViews>
    <sheetView zoomScale="85" zoomScaleNormal="85" workbookViewId="0">
      <pane xSplit="1" ySplit="2" topLeftCell="AR3" activePane="bottomRight" state="frozen"/>
      <selection activeCell="C9" sqref="C9"/>
      <selection pane="topRight" activeCell="C9" sqref="C9"/>
      <selection pane="bottomLeft" activeCell="C9" sqref="C9"/>
      <selection pane="bottomRight" activeCell="A25" sqref="A25"/>
    </sheetView>
  </sheetViews>
  <sheetFormatPr defaultColWidth="9.140625" defaultRowHeight="15"/>
  <cols>
    <col min="1" max="1" width="10.28515625" style="567" customWidth="1"/>
    <col min="2" max="2" width="12.42578125" style="567" hidden="1" customWidth="1"/>
    <col min="3" max="3" width="13.5703125" style="567" hidden="1" customWidth="1"/>
    <col min="4" max="4" width="10.42578125" style="567" hidden="1" customWidth="1"/>
    <col min="5" max="5" width="11.5703125" style="761" hidden="1" customWidth="1"/>
    <col min="6" max="6" width="12.85546875" style="567" hidden="1" customWidth="1"/>
    <col min="7" max="7" width="9.140625" style="567" hidden="1" customWidth="1"/>
    <col min="8" max="8" width="12.42578125" style="567" hidden="1" customWidth="1"/>
    <col min="9" max="9" width="12" style="567" hidden="1" customWidth="1"/>
    <col min="10" max="10" width="12.7109375" style="567" hidden="1" customWidth="1"/>
    <col min="11" max="11" width="12.7109375" style="761" hidden="1" customWidth="1"/>
    <col min="12" max="12" width="11.5703125" style="567" hidden="1" customWidth="1"/>
    <col min="13" max="13" width="9.140625" style="567" hidden="1" customWidth="1"/>
    <col min="14" max="14" width="12.42578125" style="567" hidden="1" customWidth="1"/>
    <col min="15" max="15" width="12" style="567" hidden="1" customWidth="1"/>
    <col min="16" max="16" width="12.7109375" style="567" hidden="1" customWidth="1"/>
    <col min="17" max="17" width="12.7109375" style="761" hidden="1" customWidth="1"/>
    <col min="18" max="18" width="11.28515625" style="203" hidden="1" customWidth="1"/>
    <col min="19" max="19" width="9.140625" style="567" hidden="1" customWidth="1"/>
    <col min="20" max="20" width="12.42578125" style="567" hidden="1" customWidth="1"/>
    <col min="21" max="21" width="12" style="567" hidden="1" customWidth="1"/>
    <col min="22" max="22" width="12.7109375" style="567" hidden="1" customWidth="1"/>
    <col min="23" max="23" width="12.7109375" style="761" hidden="1" customWidth="1"/>
    <col min="24" max="24" width="10.28515625" style="203" hidden="1" customWidth="1"/>
    <col min="25" max="25" width="0" style="567" hidden="1" customWidth="1"/>
    <col min="26" max="26" width="12.42578125" style="567" hidden="1" customWidth="1"/>
    <col min="27" max="27" width="12" style="567" hidden="1" customWidth="1"/>
    <col min="28" max="28" width="12.7109375" style="567" hidden="1" customWidth="1"/>
    <col min="29" max="29" width="12.7109375" style="761" hidden="1" customWidth="1"/>
    <col min="30" max="30" width="10.28515625" style="567" hidden="1" customWidth="1"/>
    <col min="31" max="31" width="0" style="567" hidden="1" customWidth="1"/>
    <col min="32" max="32" width="14.85546875" style="567" hidden="1" customWidth="1"/>
    <col min="33" max="33" width="13.28515625" style="567" hidden="1" customWidth="1"/>
    <col min="34" max="34" width="13.85546875" style="567" hidden="1" customWidth="1"/>
    <col min="35" max="35" width="14.42578125" style="761" hidden="1" customWidth="1"/>
    <col min="36" max="36" width="10.28515625" style="567" hidden="1" customWidth="1"/>
    <col min="37" max="37" width="0" style="567" hidden="1" customWidth="1"/>
    <col min="38" max="38" width="12.42578125" style="567" hidden="1" customWidth="1"/>
    <col min="39" max="39" width="12" style="567" hidden="1" customWidth="1"/>
    <col min="40" max="41" width="12.7109375" style="567" hidden="1" customWidth="1"/>
    <col min="42" max="42" width="10.28515625" style="567" hidden="1" customWidth="1"/>
    <col min="43" max="43" width="6.5703125" style="567" hidden="1" customWidth="1"/>
    <col min="44" max="48" width="10.85546875" style="567" customWidth="1"/>
    <col min="49" max="49" width="9.140625" style="567"/>
    <col min="50" max="50" width="0" style="567" hidden="1" customWidth="1"/>
    <col min="51" max="52" width="11.7109375" style="567" hidden="1" customWidth="1"/>
    <col min="53" max="54" width="0" style="567" hidden="1" customWidth="1"/>
    <col min="55" max="55" width="11" style="567" hidden="1" customWidth="1"/>
    <col min="56" max="59" width="0" style="567" hidden="1" customWidth="1"/>
    <col min="60" max="16384" width="9.140625" style="567"/>
  </cols>
  <sheetData>
    <row r="1" spans="1:58" ht="31.7" customHeight="1">
      <c r="A1" s="1894" t="s">
        <v>400</v>
      </c>
      <c r="B1" s="1895"/>
      <c r="C1" s="1895"/>
      <c r="D1" s="1895"/>
      <c r="E1" s="1895"/>
      <c r="F1" s="1895"/>
      <c r="H1" s="1894" t="s">
        <v>435</v>
      </c>
      <c r="I1" s="1895"/>
      <c r="J1" s="1895"/>
      <c r="K1" s="1895"/>
      <c r="L1" s="1895"/>
      <c r="N1" s="1888" t="s">
        <v>25</v>
      </c>
      <c r="O1" s="1889"/>
      <c r="P1" s="1889"/>
      <c r="Q1" s="1889"/>
      <c r="R1" s="1889"/>
      <c r="T1" s="1888" t="s">
        <v>401</v>
      </c>
      <c r="U1" s="1889"/>
      <c r="V1" s="1889"/>
      <c r="W1" s="1889"/>
      <c r="X1" s="1889"/>
      <c r="Z1" s="1888" t="s">
        <v>26</v>
      </c>
      <c r="AA1" s="1889"/>
      <c r="AB1" s="1889"/>
      <c r="AC1" s="1889"/>
      <c r="AD1" s="1889"/>
      <c r="AF1" s="1888" t="s">
        <v>28</v>
      </c>
      <c r="AG1" s="1889"/>
      <c r="AH1" s="1889"/>
      <c r="AI1" s="1889"/>
      <c r="AJ1" s="1889"/>
      <c r="AL1" s="1890" t="s">
        <v>29</v>
      </c>
      <c r="AM1" s="1891"/>
      <c r="AN1" s="1891"/>
      <c r="AO1" s="1891"/>
      <c r="AP1" s="1891"/>
      <c r="AR1" s="1890" t="s">
        <v>424</v>
      </c>
      <c r="AS1" s="1891"/>
      <c r="AT1" s="1891"/>
      <c r="AU1" s="1891"/>
      <c r="AV1" s="1891"/>
      <c r="AX1" s="1888" t="s">
        <v>428</v>
      </c>
      <c r="AY1" s="1889"/>
      <c r="AZ1" s="1889"/>
      <c r="BA1" s="1889"/>
      <c r="BC1" s="1888" t="s">
        <v>431</v>
      </c>
      <c r="BD1" s="1889"/>
      <c r="BE1" s="1889"/>
      <c r="BF1" s="1889"/>
    </row>
    <row r="2" spans="1:58" ht="24" customHeight="1" thickBot="1">
      <c r="A2" s="568" t="s">
        <v>174</v>
      </c>
      <c r="B2" s="569" t="s">
        <v>175</v>
      </c>
      <c r="C2" s="569" t="s">
        <v>176</v>
      </c>
      <c r="D2" s="569" t="s">
        <v>177</v>
      </c>
      <c r="E2" s="755" t="s">
        <v>434</v>
      </c>
      <c r="F2" s="569" t="s">
        <v>178</v>
      </c>
      <c r="H2" s="569" t="s">
        <v>175</v>
      </c>
      <c r="I2" s="569" t="s">
        <v>176</v>
      </c>
      <c r="J2" s="569" t="s">
        <v>177</v>
      </c>
      <c r="K2" s="755" t="s">
        <v>434</v>
      </c>
      <c r="L2" s="569" t="s">
        <v>178</v>
      </c>
      <c r="N2" s="569" t="s">
        <v>175</v>
      </c>
      <c r="O2" s="569" t="s">
        <v>176</v>
      </c>
      <c r="P2" s="569" t="s">
        <v>177</v>
      </c>
      <c r="Q2" s="755" t="s">
        <v>434</v>
      </c>
      <c r="R2" s="570" t="s">
        <v>178</v>
      </c>
      <c r="T2" s="569" t="s">
        <v>175</v>
      </c>
      <c r="U2" s="569" t="s">
        <v>176</v>
      </c>
      <c r="V2" s="569" t="s">
        <v>177</v>
      </c>
      <c r="W2" s="755" t="s">
        <v>434</v>
      </c>
      <c r="X2" s="570" t="s">
        <v>178</v>
      </c>
      <c r="Z2" s="569" t="s">
        <v>175</v>
      </c>
      <c r="AA2" s="569" t="s">
        <v>176</v>
      </c>
      <c r="AB2" s="569" t="s">
        <v>177</v>
      </c>
      <c r="AC2" s="755" t="s">
        <v>434</v>
      </c>
      <c r="AD2" s="569" t="s">
        <v>178</v>
      </c>
      <c r="AF2" s="569" t="s">
        <v>175</v>
      </c>
      <c r="AG2" s="569" t="s">
        <v>176</v>
      </c>
      <c r="AH2" s="569" t="s">
        <v>177</v>
      </c>
      <c r="AI2" s="755" t="s">
        <v>434</v>
      </c>
      <c r="AJ2" s="569" t="s">
        <v>178</v>
      </c>
      <c r="AL2" s="569" t="s">
        <v>175</v>
      </c>
      <c r="AM2" s="569" t="s">
        <v>176</v>
      </c>
      <c r="AN2" s="569" t="s">
        <v>177</v>
      </c>
      <c r="AO2" s="569" t="s">
        <v>440</v>
      </c>
      <c r="AP2" s="569" t="s">
        <v>178</v>
      </c>
      <c r="AR2" s="569" t="s">
        <v>175</v>
      </c>
      <c r="AS2" s="569" t="s">
        <v>176</v>
      </c>
      <c r="AT2" s="569" t="s">
        <v>427</v>
      </c>
      <c r="AU2" s="569" t="s">
        <v>177</v>
      </c>
      <c r="AV2" s="569" t="s">
        <v>178</v>
      </c>
      <c r="AX2" s="569" t="s">
        <v>175</v>
      </c>
      <c r="AY2" s="569" t="s">
        <v>176</v>
      </c>
      <c r="AZ2" s="569" t="s">
        <v>177</v>
      </c>
      <c r="BA2" s="569" t="s">
        <v>178</v>
      </c>
      <c r="BC2" s="694" t="s">
        <v>175</v>
      </c>
      <c r="BD2" s="694" t="s">
        <v>176</v>
      </c>
      <c r="BE2" s="694" t="s">
        <v>177</v>
      </c>
      <c r="BF2" s="694" t="s">
        <v>178</v>
      </c>
    </row>
    <row r="3" spans="1:58" s="583" customFormat="1" ht="13.5" thickTop="1">
      <c r="A3" s="571">
        <f>'Raw Material'!A5</f>
        <v>43800</v>
      </c>
      <c r="B3" s="572">
        <v>0</v>
      </c>
      <c r="C3" s="776"/>
      <c r="D3" s="777"/>
      <c r="E3" s="778"/>
      <c r="F3" s="575">
        <f>B3+C3-D3-E3</f>
        <v>0</v>
      </c>
      <c r="G3" s="576"/>
      <c r="H3" s="572">
        <v>0</v>
      </c>
      <c r="I3" s="776"/>
      <c r="J3" s="781"/>
      <c r="K3" s="782"/>
      <c r="L3" s="575">
        <f>H3+I3-J3-K3</f>
        <v>0</v>
      </c>
      <c r="M3" s="578"/>
      <c r="N3" s="579">
        <v>0</v>
      </c>
      <c r="O3" s="784"/>
      <c r="P3" s="785"/>
      <c r="Q3" s="786"/>
      <c r="R3" s="575">
        <f>N3+O3-P3-Q3</f>
        <v>0</v>
      </c>
      <c r="S3" s="578"/>
      <c r="T3" s="572">
        <v>0</v>
      </c>
      <c r="U3" s="776"/>
      <c r="V3" s="776"/>
      <c r="W3" s="787"/>
      <c r="X3" s="575">
        <f>T3+U3-V3-W3</f>
        <v>0</v>
      </c>
      <c r="Y3" s="578"/>
      <c r="Z3" s="572">
        <v>0</v>
      </c>
      <c r="AA3" s="776"/>
      <c r="AB3" s="776"/>
      <c r="AC3" s="787"/>
      <c r="AD3" s="575">
        <f>Z3+AA3-AB3-AC3</f>
        <v>0</v>
      </c>
      <c r="AE3" s="578"/>
      <c r="AF3" s="572">
        <v>0</v>
      </c>
      <c r="AG3" s="776"/>
      <c r="AH3" s="776"/>
      <c r="AI3" s="787"/>
      <c r="AJ3" s="575">
        <f>AF3+AG3-AH3-AI3</f>
        <v>0</v>
      </c>
      <c r="AK3" s="578"/>
      <c r="AL3" s="582">
        <v>0</v>
      </c>
      <c r="AM3" s="573"/>
      <c r="AN3" s="573"/>
      <c r="AO3" s="573"/>
      <c r="AP3" s="575">
        <f>AL3+AM3-AN3-AO3</f>
        <v>0</v>
      </c>
      <c r="AR3" s="582">
        <v>9200</v>
      </c>
      <c r="AS3" s="573"/>
      <c r="AT3" s="573"/>
      <c r="AU3" s="573"/>
      <c r="AV3" s="575">
        <f>AR3+AS3+AT3-AU3</f>
        <v>9200</v>
      </c>
      <c r="AX3" s="582">
        <v>0</v>
      </c>
      <c r="AY3" s="776"/>
      <c r="AZ3" s="776"/>
      <c r="BA3" s="575">
        <f t="shared" ref="BA3:BA33" si="0">AX3+AY3-AZ3</f>
        <v>0</v>
      </c>
      <c r="BC3" s="698">
        <v>0</v>
      </c>
      <c r="BD3" s="788"/>
      <c r="BE3" s="788"/>
      <c r="BF3" s="696">
        <f t="shared" ref="BF3:BF32" si="1">BC3+BD3-BE3</f>
        <v>0</v>
      </c>
    </row>
    <row r="4" spans="1:58" s="583" customFormat="1" ht="12.75">
      <c r="A4" s="571">
        <f>'Raw Material'!A6</f>
        <v>43801</v>
      </c>
      <c r="B4" s="584">
        <f>F3</f>
        <v>0</v>
      </c>
      <c r="C4" s="779"/>
      <c r="D4" s="777"/>
      <c r="E4" s="778"/>
      <c r="F4" s="575">
        <f t="shared" ref="F4:F33" si="2">B4+C4-D4-E4</f>
        <v>0</v>
      </c>
      <c r="G4" s="576"/>
      <c r="H4" s="584">
        <f>L3</f>
        <v>0</v>
      </c>
      <c r="I4" s="779"/>
      <c r="J4" s="781"/>
      <c r="K4" s="782"/>
      <c r="L4" s="575">
        <f t="shared" ref="L4:L32" si="3">H4+I4-J4-K4</f>
        <v>0</v>
      </c>
      <c r="M4" s="578"/>
      <c r="N4" s="584">
        <f>R3</f>
        <v>0</v>
      </c>
      <c r="O4" s="784"/>
      <c r="P4" s="785"/>
      <c r="Q4" s="786"/>
      <c r="R4" s="575">
        <f t="shared" ref="R4:R33" si="4">N4+O4-P4-Q4</f>
        <v>0</v>
      </c>
      <c r="S4" s="578"/>
      <c r="T4" s="584">
        <f>X3</f>
        <v>0</v>
      </c>
      <c r="U4" s="779"/>
      <c r="V4" s="779"/>
      <c r="W4" s="787"/>
      <c r="X4" s="575">
        <f t="shared" ref="X4:X32" si="5">T4+U4-V4-W4</f>
        <v>0</v>
      </c>
      <c r="Y4" s="578"/>
      <c r="Z4" s="584">
        <f>AD3</f>
        <v>0</v>
      </c>
      <c r="AA4" s="779"/>
      <c r="AB4" s="779"/>
      <c r="AC4" s="787"/>
      <c r="AD4" s="575">
        <f t="shared" ref="AD4:AD32" si="6">Z4+AA4-AB4-AC4</f>
        <v>0</v>
      </c>
      <c r="AE4" s="578"/>
      <c r="AF4" s="584">
        <f>AJ3</f>
        <v>0</v>
      </c>
      <c r="AG4" s="779"/>
      <c r="AH4" s="779"/>
      <c r="AI4" s="787"/>
      <c r="AJ4" s="575">
        <f t="shared" ref="AJ4:AJ32" si="7">AF4+AG4-AH4-AI4</f>
        <v>0</v>
      </c>
      <c r="AK4" s="578"/>
      <c r="AL4" s="584">
        <f>AP3</f>
        <v>0</v>
      </c>
      <c r="AM4" s="584"/>
      <c r="AN4" s="584"/>
      <c r="AO4" s="573"/>
      <c r="AP4" s="575">
        <f t="shared" ref="AP4:AP33" si="8">AL4+AM4-AN4-AO4</f>
        <v>0</v>
      </c>
      <c r="AR4" s="584">
        <f>AV3</f>
        <v>9200</v>
      </c>
      <c r="AS4" s="584"/>
      <c r="AT4" s="584"/>
      <c r="AU4" s="584"/>
      <c r="AV4" s="575">
        <f t="shared" ref="AV4:AV33" si="9">AR4+AS4+AT4-AU4</f>
        <v>9200</v>
      </c>
      <c r="AX4" s="584">
        <f>BA3</f>
        <v>0</v>
      </c>
      <c r="AY4" s="779"/>
      <c r="AZ4" s="779"/>
      <c r="BA4" s="575">
        <f t="shared" si="0"/>
        <v>0</v>
      </c>
      <c r="BC4" s="695">
        <f t="shared" ref="BC4:BC32" si="10">BF3</f>
        <v>0</v>
      </c>
      <c r="BD4" s="788"/>
      <c r="BE4" s="788"/>
      <c r="BF4" s="696">
        <f t="shared" si="1"/>
        <v>0</v>
      </c>
    </row>
    <row r="5" spans="1:58" s="583" customFormat="1" ht="12.75">
      <c r="A5" s="571">
        <f>'Raw Material'!A7</f>
        <v>43802</v>
      </c>
      <c r="B5" s="584">
        <f t="shared" ref="B5:B30" si="11">F4</f>
        <v>0</v>
      </c>
      <c r="C5" s="779"/>
      <c r="D5" s="777"/>
      <c r="E5" s="778"/>
      <c r="F5" s="575">
        <f t="shared" si="2"/>
        <v>0</v>
      </c>
      <c r="G5" s="576"/>
      <c r="H5" s="584">
        <f t="shared" ref="H5:H30" si="12">L4</f>
        <v>0</v>
      </c>
      <c r="I5" s="779"/>
      <c r="J5" s="781"/>
      <c r="K5" s="782"/>
      <c r="L5" s="575">
        <f t="shared" si="3"/>
        <v>0</v>
      </c>
      <c r="M5" s="578"/>
      <c r="N5" s="584">
        <f t="shared" ref="N5:N30" si="13">R4</f>
        <v>0</v>
      </c>
      <c r="O5" s="784"/>
      <c r="P5" s="785"/>
      <c r="Q5" s="786"/>
      <c r="R5" s="575">
        <f t="shared" si="4"/>
        <v>0</v>
      </c>
      <c r="S5" s="578"/>
      <c r="T5" s="584">
        <f t="shared" ref="T5:T30" si="14">X4</f>
        <v>0</v>
      </c>
      <c r="U5" s="779"/>
      <c r="V5" s="779"/>
      <c r="W5" s="787"/>
      <c r="X5" s="575">
        <f t="shared" si="5"/>
        <v>0</v>
      </c>
      <c r="Y5" s="578"/>
      <c r="Z5" s="584">
        <f t="shared" ref="Z5:Z30" si="15">AD4</f>
        <v>0</v>
      </c>
      <c r="AA5" s="779"/>
      <c r="AB5" s="779"/>
      <c r="AC5" s="787"/>
      <c r="AD5" s="575">
        <f t="shared" si="6"/>
        <v>0</v>
      </c>
      <c r="AE5" s="578"/>
      <c r="AF5" s="584">
        <f t="shared" ref="AF5:AF30" si="16">AJ4</f>
        <v>0</v>
      </c>
      <c r="AG5" s="779"/>
      <c r="AH5" s="779"/>
      <c r="AI5" s="787"/>
      <c r="AJ5" s="575">
        <f t="shared" si="7"/>
        <v>0</v>
      </c>
      <c r="AK5" s="578"/>
      <c r="AL5" s="584">
        <f t="shared" ref="AL5:AL30" si="17">AP4</f>
        <v>0</v>
      </c>
      <c r="AM5" s="584"/>
      <c r="AN5" s="584"/>
      <c r="AO5" s="573"/>
      <c r="AP5" s="575">
        <f t="shared" si="8"/>
        <v>0</v>
      </c>
      <c r="AR5" s="584">
        <f t="shared" ref="AR5:AR33" si="18">AV4</f>
        <v>9200</v>
      </c>
      <c r="AS5" s="584"/>
      <c r="AT5" s="584"/>
      <c r="AU5" s="584"/>
      <c r="AV5" s="575">
        <f t="shared" si="9"/>
        <v>9200</v>
      </c>
      <c r="AX5" s="584">
        <f t="shared" ref="AX5:AX33" si="19">BA4</f>
        <v>0</v>
      </c>
      <c r="AY5" s="779"/>
      <c r="AZ5" s="779"/>
      <c r="BA5" s="575">
        <f t="shared" si="0"/>
        <v>0</v>
      </c>
      <c r="BC5" s="695">
        <f t="shared" si="10"/>
        <v>0</v>
      </c>
      <c r="BD5" s="788"/>
      <c r="BE5" s="788"/>
      <c r="BF5" s="696">
        <f t="shared" si="1"/>
        <v>0</v>
      </c>
    </row>
    <row r="6" spans="1:58" s="583" customFormat="1" ht="12.75">
      <c r="A6" s="571">
        <f>'Raw Material'!A8</f>
        <v>43803</v>
      </c>
      <c r="B6" s="584">
        <f t="shared" si="11"/>
        <v>0</v>
      </c>
      <c r="C6" s="779"/>
      <c r="D6" s="777"/>
      <c r="E6" s="778"/>
      <c r="F6" s="575">
        <f t="shared" si="2"/>
        <v>0</v>
      </c>
      <c r="G6" s="576"/>
      <c r="H6" s="584">
        <f t="shared" si="12"/>
        <v>0</v>
      </c>
      <c r="I6" s="779"/>
      <c r="J6" s="781"/>
      <c r="K6" s="782"/>
      <c r="L6" s="575">
        <f t="shared" si="3"/>
        <v>0</v>
      </c>
      <c r="M6" s="578"/>
      <c r="N6" s="584">
        <f t="shared" si="13"/>
        <v>0</v>
      </c>
      <c r="O6" s="784"/>
      <c r="P6" s="785"/>
      <c r="Q6" s="786"/>
      <c r="R6" s="575">
        <f t="shared" si="4"/>
        <v>0</v>
      </c>
      <c r="S6" s="578"/>
      <c r="T6" s="584">
        <f t="shared" si="14"/>
        <v>0</v>
      </c>
      <c r="U6" s="779"/>
      <c r="V6" s="779"/>
      <c r="W6" s="787"/>
      <c r="X6" s="575">
        <f t="shared" si="5"/>
        <v>0</v>
      </c>
      <c r="Y6" s="578"/>
      <c r="Z6" s="584">
        <f t="shared" si="15"/>
        <v>0</v>
      </c>
      <c r="AA6" s="779"/>
      <c r="AB6" s="779"/>
      <c r="AC6" s="787"/>
      <c r="AD6" s="575">
        <f t="shared" si="6"/>
        <v>0</v>
      </c>
      <c r="AE6" s="578"/>
      <c r="AF6" s="584">
        <f t="shared" si="16"/>
        <v>0</v>
      </c>
      <c r="AG6" s="779"/>
      <c r="AH6" s="779"/>
      <c r="AI6" s="787"/>
      <c r="AJ6" s="575">
        <f t="shared" si="7"/>
        <v>0</v>
      </c>
      <c r="AK6" s="578"/>
      <c r="AL6" s="584">
        <f t="shared" si="17"/>
        <v>0</v>
      </c>
      <c r="AM6" s="584"/>
      <c r="AN6" s="584"/>
      <c r="AO6" s="573"/>
      <c r="AP6" s="575">
        <f t="shared" si="8"/>
        <v>0</v>
      </c>
      <c r="AR6" s="584">
        <f t="shared" si="18"/>
        <v>9200</v>
      </c>
      <c r="AS6" s="584"/>
      <c r="AT6" s="584"/>
      <c r="AU6" s="584"/>
      <c r="AV6" s="575">
        <f t="shared" si="9"/>
        <v>9200</v>
      </c>
      <c r="AX6" s="584">
        <f t="shared" si="19"/>
        <v>0</v>
      </c>
      <c r="AY6" s="779"/>
      <c r="AZ6" s="779"/>
      <c r="BA6" s="575">
        <f t="shared" si="0"/>
        <v>0</v>
      </c>
      <c r="BC6" s="695">
        <f t="shared" si="10"/>
        <v>0</v>
      </c>
      <c r="BD6" s="788"/>
      <c r="BE6" s="788"/>
      <c r="BF6" s="696">
        <f t="shared" si="1"/>
        <v>0</v>
      </c>
    </row>
    <row r="7" spans="1:58" s="583" customFormat="1" ht="12.75">
      <c r="A7" s="571">
        <f>'Raw Material'!A9</f>
        <v>43804</v>
      </c>
      <c r="B7" s="584">
        <f t="shared" si="11"/>
        <v>0</v>
      </c>
      <c r="C7" s="779"/>
      <c r="D7" s="777"/>
      <c r="E7" s="778"/>
      <c r="F7" s="575">
        <f t="shared" si="2"/>
        <v>0</v>
      </c>
      <c r="G7" s="576"/>
      <c r="H7" s="584">
        <f t="shared" si="12"/>
        <v>0</v>
      </c>
      <c r="I7" s="779"/>
      <c r="J7" s="781"/>
      <c r="K7" s="782"/>
      <c r="L7" s="575">
        <f t="shared" si="3"/>
        <v>0</v>
      </c>
      <c r="M7" s="578"/>
      <c r="N7" s="584">
        <f t="shared" si="13"/>
        <v>0</v>
      </c>
      <c r="O7" s="784"/>
      <c r="P7" s="785"/>
      <c r="Q7" s="786"/>
      <c r="R7" s="575">
        <f t="shared" si="4"/>
        <v>0</v>
      </c>
      <c r="S7" s="578"/>
      <c r="T7" s="584">
        <f t="shared" si="14"/>
        <v>0</v>
      </c>
      <c r="U7" s="779"/>
      <c r="V7" s="779"/>
      <c r="W7" s="787"/>
      <c r="X7" s="575">
        <f t="shared" si="5"/>
        <v>0</v>
      </c>
      <c r="Y7" s="578"/>
      <c r="Z7" s="584">
        <f t="shared" si="15"/>
        <v>0</v>
      </c>
      <c r="AA7" s="779"/>
      <c r="AB7" s="779"/>
      <c r="AC7" s="787"/>
      <c r="AD7" s="575">
        <f t="shared" si="6"/>
        <v>0</v>
      </c>
      <c r="AE7" s="578"/>
      <c r="AF7" s="584">
        <f t="shared" si="16"/>
        <v>0</v>
      </c>
      <c r="AG7" s="779"/>
      <c r="AH7" s="779"/>
      <c r="AI7" s="787"/>
      <c r="AJ7" s="575">
        <f t="shared" si="7"/>
        <v>0</v>
      </c>
      <c r="AK7" s="578"/>
      <c r="AL7" s="584">
        <f t="shared" si="17"/>
        <v>0</v>
      </c>
      <c r="AM7" s="584"/>
      <c r="AN7" s="584"/>
      <c r="AO7" s="573"/>
      <c r="AP7" s="575">
        <f t="shared" si="8"/>
        <v>0</v>
      </c>
      <c r="AR7" s="584">
        <f t="shared" si="18"/>
        <v>9200</v>
      </c>
      <c r="AS7" s="584"/>
      <c r="AT7" s="584"/>
      <c r="AU7" s="584"/>
      <c r="AV7" s="575">
        <f t="shared" si="9"/>
        <v>9200</v>
      </c>
      <c r="AX7" s="584">
        <f t="shared" si="19"/>
        <v>0</v>
      </c>
      <c r="AY7" s="779"/>
      <c r="AZ7" s="779"/>
      <c r="BA7" s="575">
        <f t="shared" si="0"/>
        <v>0</v>
      </c>
      <c r="BC7" s="695">
        <f t="shared" si="10"/>
        <v>0</v>
      </c>
      <c r="BD7" s="788"/>
      <c r="BE7" s="788"/>
      <c r="BF7" s="696">
        <f t="shared" si="1"/>
        <v>0</v>
      </c>
    </row>
    <row r="8" spans="1:58" s="583" customFormat="1" ht="12.75">
      <c r="A8" s="571">
        <f>'Raw Material'!A10</f>
        <v>43805</v>
      </c>
      <c r="B8" s="584">
        <f t="shared" si="11"/>
        <v>0</v>
      </c>
      <c r="C8" s="779"/>
      <c r="D8" s="777"/>
      <c r="E8" s="778"/>
      <c r="F8" s="575">
        <f t="shared" si="2"/>
        <v>0</v>
      </c>
      <c r="G8" s="576"/>
      <c r="H8" s="584">
        <f t="shared" si="12"/>
        <v>0</v>
      </c>
      <c r="I8" s="779"/>
      <c r="J8" s="781"/>
      <c r="K8" s="782"/>
      <c r="L8" s="575">
        <f t="shared" si="3"/>
        <v>0</v>
      </c>
      <c r="M8" s="578"/>
      <c r="N8" s="584">
        <f t="shared" si="13"/>
        <v>0</v>
      </c>
      <c r="O8" s="784"/>
      <c r="P8" s="785"/>
      <c r="Q8" s="786"/>
      <c r="R8" s="575">
        <f t="shared" si="4"/>
        <v>0</v>
      </c>
      <c r="S8" s="578"/>
      <c r="T8" s="584">
        <f t="shared" si="14"/>
        <v>0</v>
      </c>
      <c r="U8" s="779"/>
      <c r="V8" s="779"/>
      <c r="W8" s="787"/>
      <c r="X8" s="575">
        <f t="shared" si="5"/>
        <v>0</v>
      </c>
      <c r="Y8" s="578"/>
      <c r="Z8" s="584">
        <f t="shared" si="15"/>
        <v>0</v>
      </c>
      <c r="AA8" s="779"/>
      <c r="AB8" s="779"/>
      <c r="AC8" s="787"/>
      <c r="AD8" s="575">
        <f t="shared" si="6"/>
        <v>0</v>
      </c>
      <c r="AE8" s="578"/>
      <c r="AF8" s="584">
        <f t="shared" si="16"/>
        <v>0</v>
      </c>
      <c r="AG8" s="779"/>
      <c r="AH8" s="779"/>
      <c r="AI8" s="787"/>
      <c r="AJ8" s="575">
        <f t="shared" si="7"/>
        <v>0</v>
      </c>
      <c r="AK8" s="578"/>
      <c r="AL8" s="584">
        <f t="shared" si="17"/>
        <v>0</v>
      </c>
      <c r="AM8" s="584"/>
      <c r="AN8" s="584"/>
      <c r="AO8" s="573"/>
      <c r="AP8" s="575">
        <f t="shared" si="8"/>
        <v>0</v>
      </c>
      <c r="AR8" s="584">
        <f t="shared" si="18"/>
        <v>9200</v>
      </c>
      <c r="AS8" s="584"/>
      <c r="AT8" s="584"/>
      <c r="AU8" s="584"/>
      <c r="AV8" s="575">
        <f t="shared" si="9"/>
        <v>9200</v>
      </c>
      <c r="AX8" s="584">
        <f t="shared" si="19"/>
        <v>0</v>
      </c>
      <c r="AY8" s="779"/>
      <c r="AZ8" s="779"/>
      <c r="BA8" s="575">
        <f t="shared" si="0"/>
        <v>0</v>
      </c>
      <c r="BC8" s="695">
        <f t="shared" si="10"/>
        <v>0</v>
      </c>
      <c r="BD8" s="788"/>
      <c r="BE8" s="788"/>
      <c r="BF8" s="696">
        <f t="shared" si="1"/>
        <v>0</v>
      </c>
    </row>
    <row r="9" spans="1:58" s="583" customFormat="1" ht="12.75">
      <c r="A9" s="571">
        <f>'Raw Material'!A11</f>
        <v>43806</v>
      </c>
      <c r="B9" s="584">
        <f t="shared" si="11"/>
        <v>0</v>
      </c>
      <c r="C9" s="779"/>
      <c r="D9" s="777"/>
      <c r="E9" s="778"/>
      <c r="F9" s="575">
        <f t="shared" si="2"/>
        <v>0</v>
      </c>
      <c r="G9" s="576"/>
      <c r="H9" s="584">
        <f t="shared" si="12"/>
        <v>0</v>
      </c>
      <c r="I9" s="779"/>
      <c r="J9" s="781"/>
      <c r="K9" s="782"/>
      <c r="L9" s="575">
        <f t="shared" si="3"/>
        <v>0</v>
      </c>
      <c r="M9" s="578"/>
      <c r="N9" s="584">
        <f t="shared" si="13"/>
        <v>0</v>
      </c>
      <c r="O9" s="784"/>
      <c r="P9" s="785"/>
      <c r="Q9" s="786"/>
      <c r="R9" s="575">
        <f t="shared" si="4"/>
        <v>0</v>
      </c>
      <c r="S9" s="578"/>
      <c r="T9" s="584">
        <f t="shared" si="14"/>
        <v>0</v>
      </c>
      <c r="U9" s="779"/>
      <c r="V9" s="779"/>
      <c r="W9" s="787"/>
      <c r="X9" s="575">
        <f t="shared" si="5"/>
        <v>0</v>
      </c>
      <c r="Y9" s="578"/>
      <c r="Z9" s="584">
        <f t="shared" si="15"/>
        <v>0</v>
      </c>
      <c r="AA9" s="779"/>
      <c r="AB9" s="779"/>
      <c r="AC9" s="787"/>
      <c r="AD9" s="575">
        <f t="shared" si="6"/>
        <v>0</v>
      </c>
      <c r="AE9" s="578"/>
      <c r="AF9" s="584">
        <f t="shared" si="16"/>
        <v>0</v>
      </c>
      <c r="AG9" s="779"/>
      <c r="AH9" s="779"/>
      <c r="AI9" s="787"/>
      <c r="AJ9" s="575">
        <f t="shared" si="7"/>
        <v>0</v>
      </c>
      <c r="AK9" s="578"/>
      <c r="AL9" s="584">
        <f t="shared" si="17"/>
        <v>0</v>
      </c>
      <c r="AM9" s="584"/>
      <c r="AN9" s="584"/>
      <c r="AO9" s="573"/>
      <c r="AP9" s="575">
        <f t="shared" si="8"/>
        <v>0</v>
      </c>
      <c r="AR9" s="584">
        <f t="shared" si="18"/>
        <v>9200</v>
      </c>
      <c r="AS9" s="584"/>
      <c r="AT9" s="584"/>
      <c r="AU9" s="584"/>
      <c r="AV9" s="575">
        <f t="shared" si="9"/>
        <v>9200</v>
      </c>
      <c r="AX9" s="584">
        <f t="shared" si="19"/>
        <v>0</v>
      </c>
      <c r="AY9" s="779"/>
      <c r="AZ9" s="779"/>
      <c r="BA9" s="575">
        <f t="shared" si="0"/>
        <v>0</v>
      </c>
      <c r="BC9" s="695">
        <f t="shared" si="10"/>
        <v>0</v>
      </c>
      <c r="BD9" s="788"/>
      <c r="BE9" s="788"/>
      <c r="BF9" s="696">
        <f t="shared" si="1"/>
        <v>0</v>
      </c>
    </row>
    <row r="10" spans="1:58" s="583" customFormat="1" ht="12.75">
      <c r="A10" s="571">
        <f>'Raw Material'!A12</f>
        <v>43807</v>
      </c>
      <c r="B10" s="584">
        <f t="shared" si="11"/>
        <v>0</v>
      </c>
      <c r="C10" s="779"/>
      <c r="D10" s="777"/>
      <c r="E10" s="778"/>
      <c r="F10" s="575">
        <f t="shared" si="2"/>
        <v>0</v>
      </c>
      <c r="G10" s="576"/>
      <c r="H10" s="584">
        <f t="shared" si="12"/>
        <v>0</v>
      </c>
      <c r="I10" s="779"/>
      <c r="J10" s="781"/>
      <c r="K10" s="782"/>
      <c r="L10" s="575">
        <f t="shared" si="3"/>
        <v>0</v>
      </c>
      <c r="M10" s="578"/>
      <c r="N10" s="584">
        <f t="shared" si="13"/>
        <v>0</v>
      </c>
      <c r="O10" s="784"/>
      <c r="P10" s="785"/>
      <c r="Q10" s="786"/>
      <c r="R10" s="575">
        <f t="shared" si="4"/>
        <v>0</v>
      </c>
      <c r="S10" s="578"/>
      <c r="T10" s="584">
        <f t="shared" si="14"/>
        <v>0</v>
      </c>
      <c r="U10" s="779"/>
      <c r="V10" s="779"/>
      <c r="W10" s="787"/>
      <c r="X10" s="575">
        <f t="shared" si="5"/>
        <v>0</v>
      </c>
      <c r="Y10" s="578"/>
      <c r="Z10" s="584">
        <f t="shared" si="15"/>
        <v>0</v>
      </c>
      <c r="AA10" s="779"/>
      <c r="AB10" s="779"/>
      <c r="AC10" s="787"/>
      <c r="AD10" s="575">
        <f t="shared" si="6"/>
        <v>0</v>
      </c>
      <c r="AE10" s="578"/>
      <c r="AF10" s="584">
        <f t="shared" si="16"/>
        <v>0</v>
      </c>
      <c r="AG10" s="779"/>
      <c r="AH10" s="779"/>
      <c r="AI10" s="787"/>
      <c r="AJ10" s="575">
        <f t="shared" si="7"/>
        <v>0</v>
      </c>
      <c r="AK10" s="578"/>
      <c r="AL10" s="584">
        <f t="shared" si="17"/>
        <v>0</v>
      </c>
      <c r="AM10" s="584"/>
      <c r="AN10" s="584"/>
      <c r="AO10" s="573"/>
      <c r="AP10" s="575">
        <f t="shared" si="8"/>
        <v>0</v>
      </c>
      <c r="AR10" s="584">
        <f t="shared" si="18"/>
        <v>9200</v>
      </c>
      <c r="AS10" s="584"/>
      <c r="AT10" s="584"/>
      <c r="AU10" s="584"/>
      <c r="AV10" s="575">
        <f t="shared" si="9"/>
        <v>9200</v>
      </c>
      <c r="AX10" s="584">
        <f t="shared" si="19"/>
        <v>0</v>
      </c>
      <c r="AY10" s="779"/>
      <c r="AZ10" s="779"/>
      <c r="BA10" s="575">
        <f t="shared" si="0"/>
        <v>0</v>
      </c>
      <c r="BC10" s="695">
        <f t="shared" si="10"/>
        <v>0</v>
      </c>
      <c r="BD10" s="788"/>
      <c r="BE10" s="788"/>
      <c r="BF10" s="696">
        <f t="shared" si="1"/>
        <v>0</v>
      </c>
    </row>
    <row r="11" spans="1:58" s="583" customFormat="1" ht="12.75">
      <c r="A11" s="571">
        <f>'Raw Material'!A13</f>
        <v>43808</v>
      </c>
      <c r="B11" s="584">
        <f t="shared" si="11"/>
        <v>0</v>
      </c>
      <c r="C11" s="779"/>
      <c r="D11" s="777"/>
      <c r="E11" s="778"/>
      <c r="F11" s="575">
        <f t="shared" si="2"/>
        <v>0</v>
      </c>
      <c r="G11" s="576"/>
      <c r="H11" s="584">
        <f t="shared" si="12"/>
        <v>0</v>
      </c>
      <c r="I11" s="779"/>
      <c r="J11" s="781"/>
      <c r="K11" s="782"/>
      <c r="L11" s="575">
        <f t="shared" si="3"/>
        <v>0</v>
      </c>
      <c r="M11" s="578"/>
      <c r="N11" s="584">
        <f t="shared" si="13"/>
        <v>0</v>
      </c>
      <c r="O11" s="784"/>
      <c r="P11" s="785"/>
      <c r="Q11" s="786"/>
      <c r="R11" s="575">
        <f t="shared" si="4"/>
        <v>0</v>
      </c>
      <c r="S11" s="578"/>
      <c r="T11" s="584">
        <f t="shared" si="14"/>
        <v>0</v>
      </c>
      <c r="U11" s="779"/>
      <c r="V11" s="779"/>
      <c r="W11" s="787"/>
      <c r="X11" s="575">
        <f t="shared" si="5"/>
        <v>0</v>
      </c>
      <c r="Y11" s="578"/>
      <c r="Z11" s="584">
        <f t="shared" si="15"/>
        <v>0</v>
      </c>
      <c r="AA11" s="779"/>
      <c r="AB11" s="779"/>
      <c r="AC11" s="787"/>
      <c r="AD11" s="575">
        <f t="shared" si="6"/>
        <v>0</v>
      </c>
      <c r="AE11" s="578"/>
      <c r="AF11" s="584">
        <f t="shared" si="16"/>
        <v>0</v>
      </c>
      <c r="AG11" s="779"/>
      <c r="AH11" s="779"/>
      <c r="AI11" s="787"/>
      <c r="AJ11" s="575">
        <f t="shared" si="7"/>
        <v>0</v>
      </c>
      <c r="AK11" s="578"/>
      <c r="AL11" s="584">
        <f t="shared" si="17"/>
        <v>0</v>
      </c>
      <c r="AM11" s="584"/>
      <c r="AN11" s="584"/>
      <c r="AO11" s="573"/>
      <c r="AP11" s="575">
        <f t="shared" si="8"/>
        <v>0</v>
      </c>
      <c r="AR11" s="584">
        <f t="shared" si="18"/>
        <v>9200</v>
      </c>
      <c r="AS11" s="584"/>
      <c r="AT11" s="584"/>
      <c r="AU11" s="584"/>
      <c r="AV11" s="575">
        <f t="shared" si="9"/>
        <v>9200</v>
      </c>
      <c r="AX11" s="584">
        <f t="shared" si="19"/>
        <v>0</v>
      </c>
      <c r="AY11" s="779"/>
      <c r="AZ11" s="779"/>
      <c r="BA11" s="575">
        <f t="shared" si="0"/>
        <v>0</v>
      </c>
      <c r="BC11" s="695">
        <f t="shared" si="10"/>
        <v>0</v>
      </c>
      <c r="BD11" s="788"/>
      <c r="BE11" s="788"/>
      <c r="BF11" s="696">
        <f t="shared" si="1"/>
        <v>0</v>
      </c>
    </row>
    <row r="12" spans="1:58" s="583" customFormat="1" ht="12.75">
      <c r="A12" s="571">
        <f>'Raw Material'!A14</f>
        <v>43809</v>
      </c>
      <c r="B12" s="584">
        <f t="shared" si="11"/>
        <v>0</v>
      </c>
      <c r="C12" s="779"/>
      <c r="D12" s="777"/>
      <c r="E12" s="778"/>
      <c r="F12" s="575">
        <f t="shared" si="2"/>
        <v>0</v>
      </c>
      <c r="G12" s="576"/>
      <c r="H12" s="584">
        <f t="shared" si="12"/>
        <v>0</v>
      </c>
      <c r="I12" s="779"/>
      <c r="J12" s="781"/>
      <c r="K12" s="782"/>
      <c r="L12" s="575">
        <f t="shared" si="3"/>
        <v>0</v>
      </c>
      <c r="M12" s="578"/>
      <c r="N12" s="584">
        <f t="shared" si="13"/>
        <v>0</v>
      </c>
      <c r="O12" s="784"/>
      <c r="P12" s="785"/>
      <c r="Q12" s="786"/>
      <c r="R12" s="575">
        <f t="shared" si="4"/>
        <v>0</v>
      </c>
      <c r="S12" s="578"/>
      <c r="T12" s="584">
        <f t="shared" si="14"/>
        <v>0</v>
      </c>
      <c r="U12" s="779"/>
      <c r="V12" s="779"/>
      <c r="W12" s="787"/>
      <c r="X12" s="575">
        <f t="shared" si="5"/>
        <v>0</v>
      </c>
      <c r="Y12" s="578"/>
      <c r="Z12" s="584">
        <f t="shared" si="15"/>
        <v>0</v>
      </c>
      <c r="AA12" s="779"/>
      <c r="AB12" s="779"/>
      <c r="AC12" s="787"/>
      <c r="AD12" s="575">
        <f t="shared" si="6"/>
        <v>0</v>
      </c>
      <c r="AE12" s="578"/>
      <c r="AF12" s="584">
        <f t="shared" si="16"/>
        <v>0</v>
      </c>
      <c r="AG12" s="779"/>
      <c r="AH12" s="779"/>
      <c r="AI12" s="787"/>
      <c r="AJ12" s="575">
        <f t="shared" si="7"/>
        <v>0</v>
      </c>
      <c r="AK12" s="578"/>
      <c r="AL12" s="584">
        <f t="shared" si="17"/>
        <v>0</v>
      </c>
      <c r="AM12" s="584"/>
      <c r="AN12" s="584"/>
      <c r="AO12" s="573"/>
      <c r="AP12" s="575">
        <f t="shared" si="8"/>
        <v>0</v>
      </c>
      <c r="AR12" s="584">
        <f t="shared" si="18"/>
        <v>9200</v>
      </c>
      <c r="AS12" s="584"/>
      <c r="AT12" s="584"/>
      <c r="AU12" s="584"/>
      <c r="AV12" s="575">
        <f t="shared" si="9"/>
        <v>9200</v>
      </c>
      <c r="AX12" s="584">
        <f t="shared" si="19"/>
        <v>0</v>
      </c>
      <c r="AY12" s="779"/>
      <c r="AZ12" s="779"/>
      <c r="BA12" s="575">
        <f t="shared" si="0"/>
        <v>0</v>
      </c>
      <c r="BC12" s="695">
        <f t="shared" si="10"/>
        <v>0</v>
      </c>
      <c r="BD12" s="788"/>
      <c r="BE12" s="788"/>
      <c r="BF12" s="696">
        <f t="shared" si="1"/>
        <v>0</v>
      </c>
    </row>
    <row r="13" spans="1:58" s="583" customFormat="1" ht="12.75">
      <c r="A13" s="571">
        <f>'Raw Material'!A15</f>
        <v>43810</v>
      </c>
      <c r="B13" s="584">
        <f t="shared" si="11"/>
        <v>0</v>
      </c>
      <c r="C13" s="779"/>
      <c r="D13" s="777"/>
      <c r="E13" s="778"/>
      <c r="F13" s="575">
        <f t="shared" si="2"/>
        <v>0</v>
      </c>
      <c r="G13" s="576"/>
      <c r="H13" s="584">
        <f t="shared" si="12"/>
        <v>0</v>
      </c>
      <c r="I13" s="779"/>
      <c r="J13" s="781"/>
      <c r="K13" s="782"/>
      <c r="L13" s="575">
        <f t="shared" si="3"/>
        <v>0</v>
      </c>
      <c r="M13" s="578"/>
      <c r="N13" s="584">
        <f t="shared" si="13"/>
        <v>0</v>
      </c>
      <c r="O13" s="784"/>
      <c r="P13" s="785"/>
      <c r="Q13" s="786"/>
      <c r="R13" s="575">
        <f t="shared" si="4"/>
        <v>0</v>
      </c>
      <c r="S13" s="578"/>
      <c r="T13" s="584">
        <f t="shared" si="14"/>
        <v>0</v>
      </c>
      <c r="U13" s="779"/>
      <c r="V13" s="779"/>
      <c r="W13" s="787"/>
      <c r="X13" s="575">
        <f t="shared" si="5"/>
        <v>0</v>
      </c>
      <c r="Y13" s="578"/>
      <c r="Z13" s="584">
        <f t="shared" si="15"/>
        <v>0</v>
      </c>
      <c r="AA13" s="779"/>
      <c r="AB13" s="779"/>
      <c r="AC13" s="787"/>
      <c r="AD13" s="575">
        <f t="shared" si="6"/>
        <v>0</v>
      </c>
      <c r="AE13" s="578"/>
      <c r="AF13" s="584">
        <f t="shared" si="16"/>
        <v>0</v>
      </c>
      <c r="AG13" s="779"/>
      <c r="AH13" s="779"/>
      <c r="AI13" s="787"/>
      <c r="AJ13" s="575">
        <f t="shared" si="7"/>
        <v>0</v>
      </c>
      <c r="AK13" s="578"/>
      <c r="AL13" s="584">
        <f t="shared" si="17"/>
        <v>0</v>
      </c>
      <c r="AM13" s="584"/>
      <c r="AN13" s="584"/>
      <c r="AO13" s="573"/>
      <c r="AP13" s="575">
        <f t="shared" si="8"/>
        <v>0</v>
      </c>
      <c r="AR13" s="584">
        <f t="shared" si="18"/>
        <v>9200</v>
      </c>
      <c r="AS13" s="584"/>
      <c r="AT13" s="584"/>
      <c r="AU13" s="584"/>
      <c r="AV13" s="575">
        <f t="shared" si="9"/>
        <v>9200</v>
      </c>
      <c r="AX13" s="584">
        <f t="shared" si="19"/>
        <v>0</v>
      </c>
      <c r="AY13" s="779"/>
      <c r="AZ13" s="779"/>
      <c r="BA13" s="575">
        <f t="shared" si="0"/>
        <v>0</v>
      </c>
      <c r="BC13" s="695">
        <f t="shared" si="10"/>
        <v>0</v>
      </c>
      <c r="BD13" s="788"/>
      <c r="BE13" s="788"/>
      <c r="BF13" s="696">
        <f t="shared" si="1"/>
        <v>0</v>
      </c>
    </row>
    <row r="14" spans="1:58" s="583" customFormat="1" ht="12.75">
      <c r="A14" s="571">
        <f>'Raw Material'!A16</f>
        <v>43811</v>
      </c>
      <c r="B14" s="584">
        <f t="shared" si="11"/>
        <v>0</v>
      </c>
      <c r="C14" s="779"/>
      <c r="D14" s="777"/>
      <c r="E14" s="778"/>
      <c r="F14" s="575">
        <f t="shared" si="2"/>
        <v>0</v>
      </c>
      <c r="G14" s="576"/>
      <c r="H14" s="584">
        <f t="shared" si="12"/>
        <v>0</v>
      </c>
      <c r="I14" s="779"/>
      <c r="J14" s="781"/>
      <c r="K14" s="782"/>
      <c r="L14" s="575">
        <f t="shared" si="3"/>
        <v>0</v>
      </c>
      <c r="M14" s="578"/>
      <c r="N14" s="584">
        <f t="shared" si="13"/>
        <v>0</v>
      </c>
      <c r="O14" s="784"/>
      <c r="P14" s="785"/>
      <c r="Q14" s="786"/>
      <c r="R14" s="575">
        <f t="shared" si="4"/>
        <v>0</v>
      </c>
      <c r="S14" s="578"/>
      <c r="T14" s="584">
        <f t="shared" si="14"/>
        <v>0</v>
      </c>
      <c r="U14" s="779"/>
      <c r="V14" s="779"/>
      <c r="W14" s="787"/>
      <c r="X14" s="575">
        <f t="shared" si="5"/>
        <v>0</v>
      </c>
      <c r="Y14" s="578"/>
      <c r="Z14" s="584">
        <f t="shared" si="15"/>
        <v>0</v>
      </c>
      <c r="AA14" s="779"/>
      <c r="AB14" s="779"/>
      <c r="AC14" s="787"/>
      <c r="AD14" s="575">
        <f t="shared" si="6"/>
        <v>0</v>
      </c>
      <c r="AE14" s="578"/>
      <c r="AF14" s="584">
        <f t="shared" si="16"/>
        <v>0</v>
      </c>
      <c r="AG14" s="779"/>
      <c r="AH14" s="779"/>
      <c r="AI14" s="787"/>
      <c r="AJ14" s="575">
        <f t="shared" si="7"/>
        <v>0</v>
      </c>
      <c r="AK14" s="578"/>
      <c r="AL14" s="584">
        <f t="shared" si="17"/>
        <v>0</v>
      </c>
      <c r="AM14" s="584"/>
      <c r="AN14" s="584"/>
      <c r="AO14" s="573"/>
      <c r="AP14" s="575">
        <f t="shared" si="8"/>
        <v>0</v>
      </c>
      <c r="AR14" s="584">
        <f t="shared" si="18"/>
        <v>9200</v>
      </c>
      <c r="AS14" s="584"/>
      <c r="AT14" s="584"/>
      <c r="AU14" s="584"/>
      <c r="AV14" s="575">
        <f t="shared" si="9"/>
        <v>9200</v>
      </c>
      <c r="AX14" s="584">
        <f t="shared" si="19"/>
        <v>0</v>
      </c>
      <c r="AY14" s="779"/>
      <c r="AZ14" s="779"/>
      <c r="BA14" s="575">
        <f t="shared" si="0"/>
        <v>0</v>
      </c>
      <c r="BC14" s="695">
        <f t="shared" si="10"/>
        <v>0</v>
      </c>
      <c r="BD14" s="788"/>
      <c r="BE14" s="788"/>
      <c r="BF14" s="696">
        <f t="shared" si="1"/>
        <v>0</v>
      </c>
    </row>
    <row r="15" spans="1:58" s="583" customFormat="1" ht="12.75">
      <c r="A15" s="571">
        <f>'Raw Material'!A17</f>
        <v>43812</v>
      </c>
      <c r="B15" s="584">
        <f t="shared" si="11"/>
        <v>0</v>
      </c>
      <c r="C15" s="779"/>
      <c r="D15" s="777"/>
      <c r="E15" s="778"/>
      <c r="F15" s="575">
        <f t="shared" si="2"/>
        <v>0</v>
      </c>
      <c r="G15" s="576"/>
      <c r="H15" s="584">
        <f t="shared" si="12"/>
        <v>0</v>
      </c>
      <c r="I15" s="779"/>
      <c r="J15" s="781"/>
      <c r="K15" s="782"/>
      <c r="L15" s="575">
        <f t="shared" si="3"/>
        <v>0</v>
      </c>
      <c r="M15" s="578"/>
      <c r="N15" s="584">
        <f t="shared" si="13"/>
        <v>0</v>
      </c>
      <c r="O15" s="784"/>
      <c r="P15" s="785"/>
      <c r="Q15" s="786"/>
      <c r="R15" s="575">
        <f t="shared" si="4"/>
        <v>0</v>
      </c>
      <c r="S15" s="578"/>
      <c r="T15" s="584">
        <f t="shared" si="14"/>
        <v>0</v>
      </c>
      <c r="U15" s="779"/>
      <c r="V15" s="779"/>
      <c r="W15" s="787"/>
      <c r="X15" s="575">
        <f t="shared" si="5"/>
        <v>0</v>
      </c>
      <c r="Y15" s="578"/>
      <c r="Z15" s="584">
        <f t="shared" si="15"/>
        <v>0</v>
      </c>
      <c r="AA15" s="779"/>
      <c r="AB15" s="779"/>
      <c r="AC15" s="787"/>
      <c r="AD15" s="575">
        <f t="shared" si="6"/>
        <v>0</v>
      </c>
      <c r="AE15" s="578"/>
      <c r="AF15" s="584">
        <f t="shared" si="16"/>
        <v>0</v>
      </c>
      <c r="AG15" s="779"/>
      <c r="AH15" s="779"/>
      <c r="AI15" s="787"/>
      <c r="AJ15" s="575">
        <f t="shared" si="7"/>
        <v>0</v>
      </c>
      <c r="AK15" s="578"/>
      <c r="AL15" s="584">
        <f t="shared" si="17"/>
        <v>0</v>
      </c>
      <c r="AM15" s="584"/>
      <c r="AN15" s="584"/>
      <c r="AO15" s="573"/>
      <c r="AP15" s="575">
        <f t="shared" si="8"/>
        <v>0</v>
      </c>
      <c r="AR15" s="584">
        <f t="shared" si="18"/>
        <v>9200</v>
      </c>
      <c r="AS15" s="584"/>
      <c r="AT15" s="584"/>
      <c r="AU15" s="584"/>
      <c r="AV15" s="575">
        <f t="shared" si="9"/>
        <v>9200</v>
      </c>
      <c r="AX15" s="584">
        <f t="shared" si="19"/>
        <v>0</v>
      </c>
      <c r="AY15" s="779"/>
      <c r="AZ15" s="779"/>
      <c r="BA15" s="575">
        <f t="shared" si="0"/>
        <v>0</v>
      </c>
      <c r="BC15" s="695">
        <f t="shared" si="10"/>
        <v>0</v>
      </c>
      <c r="BD15" s="788"/>
      <c r="BE15" s="788"/>
      <c r="BF15" s="696">
        <f t="shared" si="1"/>
        <v>0</v>
      </c>
    </row>
    <row r="16" spans="1:58" s="583" customFormat="1" ht="12.75">
      <c r="A16" s="571">
        <f>'Raw Material'!A18</f>
        <v>43813</v>
      </c>
      <c r="B16" s="584">
        <f t="shared" si="11"/>
        <v>0</v>
      </c>
      <c r="C16" s="779"/>
      <c r="D16" s="777"/>
      <c r="E16" s="778"/>
      <c r="F16" s="575">
        <f t="shared" si="2"/>
        <v>0</v>
      </c>
      <c r="G16" s="576"/>
      <c r="H16" s="584">
        <f t="shared" si="12"/>
        <v>0</v>
      </c>
      <c r="I16" s="779"/>
      <c r="J16" s="781"/>
      <c r="K16" s="782"/>
      <c r="L16" s="575">
        <f t="shared" si="3"/>
        <v>0</v>
      </c>
      <c r="M16" s="578"/>
      <c r="N16" s="584">
        <f t="shared" si="13"/>
        <v>0</v>
      </c>
      <c r="O16" s="784"/>
      <c r="P16" s="785"/>
      <c r="Q16" s="786"/>
      <c r="R16" s="575">
        <f t="shared" si="4"/>
        <v>0</v>
      </c>
      <c r="S16" s="578"/>
      <c r="T16" s="584">
        <f t="shared" si="14"/>
        <v>0</v>
      </c>
      <c r="U16" s="779"/>
      <c r="V16" s="779"/>
      <c r="W16" s="787"/>
      <c r="X16" s="575">
        <f t="shared" si="5"/>
        <v>0</v>
      </c>
      <c r="Y16" s="578"/>
      <c r="Z16" s="584">
        <f t="shared" si="15"/>
        <v>0</v>
      </c>
      <c r="AA16" s="779"/>
      <c r="AB16" s="779"/>
      <c r="AC16" s="787"/>
      <c r="AD16" s="575">
        <f t="shared" si="6"/>
        <v>0</v>
      </c>
      <c r="AE16" s="578"/>
      <c r="AF16" s="584">
        <f t="shared" si="16"/>
        <v>0</v>
      </c>
      <c r="AG16" s="779"/>
      <c r="AH16" s="779"/>
      <c r="AI16" s="787"/>
      <c r="AJ16" s="575">
        <f t="shared" si="7"/>
        <v>0</v>
      </c>
      <c r="AK16" s="578"/>
      <c r="AL16" s="584">
        <f t="shared" si="17"/>
        <v>0</v>
      </c>
      <c r="AM16" s="584"/>
      <c r="AN16" s="584"/>
      <c r="AO16" s="573"/>
      <c r="AP16" s="575">
        <f t="shared" si="8"/>
        <v>0</v>
      </c>
      <c r="AR16" s="584">
        <f t="shared" si="18"/>
        <v>9200</v>
      </c>
      <c r="AS16" s="584"/>
      <c r="AT16" s="584"/>
      <c r="AU16" s="584"/>
      <c r="AV16" s="575">
        <f t="shared" si="9"/>
        <v>9200</v>
      </c>
      <c r="AX16" s="584">
        <f t="shared" si="19"/>
        <v>0</v>
      </c>
      <c r="AY16" s="779"/>
      <c r="AZ16" s="779"/>
      <c r="BA16" s="575">
        <f t="shared" si="0"/>
        <v>0</v>
      </c>
      <c r="BC16" s="695">
        <f t="shared" si="10"/>
        <v>0</v>
      </c>
      <c r="BD16" s="788"/>
      <c r="BE16" s="788"/>
      <c r="BF16" s="696">
        <f t="shared" si="1"/>
        <v>0</v>
      </c>
    </row>
    <row r="17" spans="1:58" s="583" customFormat="1" ht="12.75">
      <c r="A17" s="571">
        <f>'Raw Material'!A19</f>
        <v>43814</v>
      </c>
      <c r="B17" s="584">
        <f t="shared" si="11"/>
        <v>0</v>
      </c>
      <c r="C17" s="779"/>
      <c r="D17" s="777"/>
      <c r="E17" s="778"/>
      <c r="F17" s="575">
        <f t="shared" si="2"/>
        <v>0</v>
      </c>
      <c r="G17" s="576"/>
      <c r="H17" s="584">
        <f t="shared" si="12"/>
        <v>0</v>
      </c>
      <c r="I17" s="779"/>
      <c r="J17" s="781"/>
      <c r="K17" s="782"/>
      <c r="L17" s="575">
        <f t="shared" si="3"/>
        <v>0</v>
      </c>
      <c r="M17" s="578"/>
      <c r="N17" s="584">
        <f t="shared" si="13"/>
        <v>0</v>
      </c>
      <c r="O17" s="784"/>
      <c r="P17" s="785"/>
      <c r="Q17" s="786"/>
      <c r="R17" s="575">
        <f t="shared" si="4"/>
        <v>0</v>
      </c>
      <c r="S17" s="578"/>
      <c r="T17" s="584">
        <f t="shared" si="14"/>
        <v>0</v>
      </c>
      <c r="U17" s="779"/>
      <c r="V17" s="779"/>
      <c r="W17" s="787"/>
      <c r="X17" s="575">
        <f t="shared" si="5"/>
        <v>0</v>
      </c>
      <c r="Y17" s="578"/>
      <c r="Z17" s="584">
        <f t="shared" si="15"/>
        <v>0</v>
      </c>
      <c r="AA17" s="779"/>
      <c r="AB17" s="779"/>
      <c r="AC17" s="787"/>
      <c r="AD17" s="575">
        <f t="shared" si="6"/>
        <v>0</v>
      </c>
      <c r="AE17" s="578"/>
      <c r="AF17" s="584">
        <f t="shared" si="16"/>
        <v>0</v>
      </c>
      <c r="AG17" s="779"/>
      <c r="AH17" s="779"/>
      <c r="AI17" s="787"/>
      <c r="AJ17" s="575">
        <f t="shared" si="7"/>
        <v>0</v>
      </c>
      <c r="AK17" s="578"/>
      <c r="AL17" s="584">
        <f t="shared" si="17"/>
        <v>0</v>
      </c>
      <c r="AM17" s="584"/>
      <c r="AN17" s="584"/>
      <c r="AO17" s="573"/>
      <c r="AP17" s="575">
        <f t="shared" si="8"/>
        <v>0</v>
      </c>
      <c r="AR17" s="584">
        <f t="shared" si="18"/>
        <v>9200</v>
      </c>
      <c r="AS17" s="584"/>
      <c r="AT17" s="584"/>
      <c r="AU17" s="584"/>
      <c r="AV17" s="575">
        <f t="shared" si="9"/>
        <v>9200</v>
      </c>
      <c r="AX17" s="584">
        <f t="shared" si="19"/>
        <v>0</v>
      </c>
      <c r="AY17" s="779"/>
      <c r="AZ17" s="779"/>
      <c r="BA17" s="575">
        <f t="shared" si="0"/>
        <v>0</v>
      </c>
      <c r="BC17" s="695">
        <f t="shared" si="10"/>
        <v>0</v>
      </c>
      <c r="BD17" s="788"/>
      <c r="BE17" s="788"/>
      <c r="BF17" s="696">
        <f t="shared" si="1"/>
        <v>0</v>
      </c>
    </row>
    <row r="18" spans="1:58" s="583" customFormat="1" ht="12.75">
      <c r="A18" s="571">
        <f>'Raw Material'!A20</f>
        <v>43815</v>
      </c>
      <c r="B18" s="584">
        <f t="shared" si="11"/>
        <v>0</v>
      </c>
      <c r="C18" s="779"/>
      <c r="D18" s="777"/>
      <c r="E18" s="778"/>
      <c r="F18" s="575">
        <f t="shared" si="2"/>
        <v>0</v>
      </c>
      <c r="G18" s="576"/>
      <c r="H18" s="584">
        <f t="shared" si="12"/>
        <v>0</v>
      </c>
      <c r="I18" s="779"/>
      <c r="J18" s="781"/>
      <c r="K18" s="782"/>
      <c r="L18" s="575">
        <f t="shared" si="3"/>
        <v>0</v>
      </c>
      <c r="M18" s="578"/>
      <c r="N18" s="584">
        <f t="shared" si="13"/>
        <v>0</v>
      </c>
      <c r="O18" s="784"/>
      <c r="P18" s="785"/>
      <c r="Q18" s="786"/>
      <c r="R18" s="575">
        <f t="shared" si="4"/>
        <v>0</v>
      </c>
      <c r="S18" s="578"/>
      <c r="T18" s="584">
        <f t="shared" si="14"/>
        <v>0</v>
      </c>
      <c r="U18" s="779"/>
      <c r="V18" s="779"/>
      <c r="W18" s="787"/>
      <c r="X18" s="575">
        <f t="shared" si="5"/>
        <v>0</v>
      </c>
      <c r="Y18" s="578"/>
      <c r="Z18" s="584">
        <f t="shared" si="15"/>
        <v>0</v>
      </c>
      <c r="AA18" s="779"/>
      <c r="AB18" s="779"/>
      <c r="AC18" s="787"/>
      <c r="AD18" s="575">
        <f t="shared" si="6"/>
        <v>0</v>
      </c>
      <c r="AE18" s="578"/>
      <c r="AF18" s="584">
        <f t="shared" si="16"/>
        <v>0</v>
      </c>
      <c r="AG18" s="779"/>
      <c r="AH18" s="779"/>
      <c r="AI18" s="787"/>
      <c r="AJ18" s="575">
        <f t="shared" si="7"/>
        <v>0</v>
      </c>
      <c r="AK18" s="578"/>
      <c r="AL18" s="584">
        <f t="shared" si="17"/>
        <v>0</v>
      </c>
      <c r="AM18" s="584"/>
      <c r="AN18" s="584"/>
      <c r="AO18" s="573"/>
      <c r="AP18" s="575">
        <f t="shared" si="8"/>
        <v>0</v>
      </c>
      <c r="AR18" s="584">
        <f t="shared" si="18"/>
        <v>9200</v>
      </c>
      <c r="AS18" s="584"/>
      <c r="AT18" s="584"/>
      <c r="AU18" s="584"/>
      <c r="AV18" s="575">
        <f t="shared" si="9"/>
        <v>9200</v>
      </c>
      <c r="AX18" s="584">
        <f t="shared" si="19"/>
        <v>0</v>
      </c>
      <c r="AY18" s="779"/>
      <c r="AZ18" s="779"/>
      <c r="BA18" s="575">
        <f t="shared" si="0"/>
        <v>0</v>
      </c>
      <c r="BC18" s="695">
        <f t="shared" si="10"/>
        <v>0</v>
      </c>
      <c r="BD18" s="788"/>
      <c r="BE18" s="788"/>
      <c r="BF18" s="696">
        <f t="shared" si="1"/>
        <v>0</v>
      </c>
    </row>
    <row r="19" spans="1:58" s="583" customFormat="1" ht="12.75">
      <c r="A19" s="571">
        <f>'Raw Material'!A21</f>
        <v>43816</v>
      </c>
      <c r="B19" s="584">
        <f t="shared" si="11"/>
        <v>0</v>
      </c>
      <c r="C19" s="779"/>
      <c r="D19" s="777"/>
      <c r="E19" s="778"/>
      <c r="F19" s="575">
        <f t="shared" si="2"/>
        <v>0</v>
      </c>
      <c r="G19" s="576"/>
      <c r="H19" s="584">
        <f t="shared" si="12"/>
        <v>0</v>
      </c>
      <c r="I19" s="779"/>
      <c r="J19" s="781"/>
      <c r="K19" s="782"/>
      <c r="L19" s="575">
        <f t="shared" si="3"/>
        <v>0</v>
      </c>
      <c r="M19" s="578"/>
      <c r="N19" s="584">
        <f t="shared" si="13"/>
        <v>0</v>
      </c>
      <c r="O19" s="784"/>
      <c r="P19" s="785"/>
      <c r="Q19" s="786"/>
      <c r="R19" s="575">
        <f t="shared" si="4"/>
        <v>0</v>
      </c>
      <c r="S19" s="578"/>
      <c r="T19" s="584">
        <f t="shared" si="14"/>
        <v>0</v>
      </c>
      <c r="U19" s="779"/>
      <c r="V19" s="779"/>
      <c r="W19" s="787"/>
      <c r="X19" s="575">
        <f t="shared" si="5"/>
        <v>0</v>
      </c>
      <c r="Y19" s="578"/>
      <c r="Z19" s="584">
        <f t="shared" si="15"/>
        <v>0</v>
      </c>
      <c r="AA19" s="779"/>
      <c r="AB19" s="779"/>
      <c r="AC19" s="787"/>
      <c r="AD19" s="575">
        <f t="shared" si="6"/>
        <v>0</v>
      </c>
      <c r="AE19" s="578"/>
      <c r="AF19" s="584">
        <f t="shared" si="16"/>
        <v>0</v>
      </c>
      <c r="AG19" s="779"/>
      <c r="AH19" s="779"/>
      <c r="AI19" s="787"/>
      <c r="AJ19" s="575">
        <f t="shared" si="7"/>
        <v>0</v>
      </c>
      <c r="AK19" s="578"/>
      <c r="AL19" s="584">
        <f t="shared" si="17"/>
        <v>0</v>
      </c>
      <c r="AM19" s="584"/>
      <c r="AN19" s="584"/>
      <c r="AO19" s="573"/>
      <c r="AP19" s="575">
        <f t="shared" si="8"/>
        <v>0</v>
      </c>
      <c r="AR19" s="584">
        <f t="shared" si="18"/>
        <v>9200</v>
      </c>
      <c r="AS19" s="584"/>
      <c r="AT19" s="584"/>
      <c r="AU19" s="584"/>
      <c r="AV19" s="575">
        <f t="shared" si="9"/>
        <v>9200</v>
      </c>
      <c r="AX19" s="584">
        <f t="shared" si="19"/>
        <v>0</v>
      </c>
      <c r="AY19" s="779"/>
      <c r="AZ19" s="779"/>
      <c r="BA19" s="575">
        <f t="shared" si="0"/>
        <v>0</v>
      </c>
      <c r="BC19" s="695">
        <f t="shared" si="10"/>
        <v>0</v>
      </c>
      <c r="BD19" s="788"/>
      <c r="BE19" s="788"/>
      <c r="BF19" s="696">
        <f t="shared" si="1"/>
        <v>0</v>
      </c>
    </row>
    <row r="20" spans="1:58" s="583" customFormat="1" ht="12.75">
      <c r="A20" s="571">
        <f>'Raw Material'!A22</f>
        <v>43817</v>
      </c>
      <c r="B20" s="584">
        <f t="shared" si="11"/>
        <v>0</v>
      </c>
      <c r="C20" s="779"/>
      <c r="D20" s="777"/>
      <c r="E20" s="778"/>
      <c r="F20" s="575">
        <f t="shared" si="2"/>
        <v>0</v>
      </c>
      <c r="G20" s="576"/>
      <c r="H20" s="584">
        <f t="shared" si="12"/>
        <v>0</v>
      </c>
      <c r="I20" s="779"/>
      <c r="J20" s="781"/>
      <c r="K20" s="782"/>
      <c r="L20" s="575">
        <f t="shared" si="3"/>
        <v>0</v>
      </c>
      <c r="M20" s="578"/>
      <c r="N20" s="584">
        <f t="shared" si="13"/>
        <v>0</v>
      </c>
      <c r="O20" s="784"/>
      <c r="P20" s="785"/>
      <c r="Q20" s="786"/>
      <c r="R20" s="575">
        <f t="shared" si="4"/>
        <v>0</v>
      </c>
      <c r="S20" s="578"/>
      <c r="T20" s="584">
        <f t="shared" si="14"/>
        <v>0</v>
      </c>
      <c r="U20" s="779"/>
      <c r="V20" s="779"/>
      <c r="W20" s="787"/>
      <c r="X20" s="575">
        <f t="shared" si="5"/>
        <v>0</v>
      </c>
      <c r="Y20" s="578"/>
      <c r="Z20" s="584">
        <f t="shared" si="15"/>
        <v>0</v>
      </c>
      <c r="AA20" s="779"/>
      <c r="AB20" s="779"/>
      <c r="AC20" s="787"/>
      <c r="AD20" s="575">
        <f t="shared" si="6"/>
        <v>0</v>
      </c>
      <c r="AE20" s="578"/>
      <c r="AF20" s="584">
        <f t="shared" si="16"/>
        <v>0</v>
      </c>
      <c r="AG20" s="779"/>
      <c r="AH20" s="779"/>
      <c r="AI20" s="787"/>
      <c r="AJ20" s="575">
        <f t="shared" si="7"/>
        <v>0</v>
      </c>
      <c r="AK20" s="578"/>
      <c r="AL20" s="584">
        <f t="shared" si="17"/>
        <v>0</v>
      </c>
      <c r="AM20" s="584"/>
      <c r="AN20" s="584"/>
      <c r="AO20" s="573"/>
      <c r="AP20" s="575">
        <f t="shared" si="8"/>
        <v>0</v>
      </c>
      <c r="AR20" s="584">
        <f t="shared" si="18"/>
        <v>9200</v>
      </c>
      <c r="AS20" s="584"/>
      <c r="AT20" s="584"/>
      <c r="AU20" s="584"/>
      <c r="AV20" s="575">
        <f t="shared" si="9"/>
        <v>9200</v>
      </c>
      <c r="AX20" s="584">
        <f t="shared" si="19"/>
        <v>0</v>
      </c>
      <c r="AY20" s="779"/>
      <c r="AZ20" s="779"/>
      <c r="BA20" s="575">
        <f t="shared" si="0"/>
        <v>0</v>
      </c>
      <c r="BC20" s="695">
        <f t="shared" si="10"/>
        <v>0</v>
      </c>
      <c r="BD20" s="788"/>
      <c r="BE20" s="788"/>
      <c r="BF20" s="696">
        <f t="shared" si="1"/>
        <v>0</v>
      </c>
    </row>
    <row r="21" spans="1:58" s="583" customFormat="1" ht="12.75">
      <c r="A21" s="571">
        <f>'Raw Material'!A23</f>
        <v>43818</v>
      </c>
      <c r="B21" s="584">
        <f t="shared" si="11"/>
        <v>0</v>
      </c>
      <c r="C21" s="779"/>
      <c r="D21" s="777"/>
      <c r="E21" s="778"/>
      <c r="F21" s="575">
        <f t="shared" si="2"/>
        <v>0</v>
      </c>
      <c r="G21" s="576"/>
      <c r="H21" s="584">
        <f t="shared" si="12"/>
        <v>0</v>
      </c>
      <c r="I21" s="779"/>
      <c r="J21" s="781"/>
      <c r="K21" s="782"/>
      <c r="L21" s="575">
        <f t="shared" si="3"/>
        <v>0</v>
      </c>
      <c r="M21" s="578"/>
      <c r="N21" s="584">
        <f t="shared" si="13"/>
        <v>0</v>
      </c>
      <c r="O21" s="784"/>
      <c r="P21" s="785"/>
      <c r="Q21" s="786"/>
      <c r="R21" s="575">
        <f t="shared" si="4"/>
        <v>0</v>
      </c>
      <c r="S21" s="578"/>
      <c r="T21" s="584">
        <f t="shared" si="14"/>
        <v>0</v>
      </c>
      <c r="U21" s="779"/>
      <c r="V21" s="779"/>
      <c r="W21" s="787"/>
      <c r="X21" s="575">
        <f t="shared" si="5"/>
        <v>0</v>
      </c>
      <c r="Y21" s="578"/>
      <c r="Z21" s="584">
        <f t="shared" si="15"/>
        <v>0</v>
      </c>
      <c r="AA21" s="779"/>
      <c r="AB21" s="779"/>
      <c r="AC21" s="787"/>
      <c r="AD21" s="575">
        <f t="shared" si="6"/>
        <v>0</v>
      </c>
      <c r="AE21" s="578"/>
      <c r="AF21" s="584">
        <f t="shared" si="16"/>
        <v>0</v>
      </c>
      <c r="AG21" s="779"/>
      <c r="AH21" s="779"/>
      <c r="AI21" s="787"/>
      <c r="AJ21" s="575">
        <f t="shared" si="7"/>
        <v>0</v>
      </c>
      <c r="AK21" s="578"/>
      <c r="AL21" s="584">
        <f t="shared" si="17"/>
        <v>0</v>
      </c>
      <c r="AM21" s="584"/>
      <c r="AN21" s="584"/>
      <c r="AO21" s="573"/>
      <c r="AP21" s="575">
        <f t="shared" si="8"/>
        <v>0</v>
      </c>
      <c r="AR21" s="584">
        <f t="shared" si="18"/>
        <v>9200</v>
      </c>
      <c r="AS21" s="584"/>
      <c r="AT21" s="584"/>
      <c r="AU21" s="584"/>
      <c r="AV21" s="575">
        <f t="shared" si="9"/>
        <v>9200</v>
      </c>
      <c r="AX21" s="584">
        <f t="shared" si="19"/>
        <v>0</v>
      </c>
      <c r="AY21" s="779"/>
      <c r="AZ21" s="779"/>
      <c r="BA21" s="575">
        <f t="shared" si="0"/>
        <v>0</v>
      </c>
      <c r="BC21" s="695">
        <f t="shared" si="10"/>
        <v>0</v>
      </c>
      <c r="BD21" s="788"/>
      <c r="BE21" s="788"/>
      <c r="BF21" s="696">
        <f t="shared" si="1"/>
        <v>0</v>
      </c>
    </row>
    <row r="22" spans="1:58" s="583" customFormat="1" ht="12.75">
      <c r="A22" s="571">
        <f>'Raw Material'!A24</f>
        <v>43819</v>
      </c>
      <c r="B22" s="584">
        <f t="shared" si="11"/>
        <v>0</v>
      </c>
      <c r="C22" s="779"/>
      <c r="D22" s="777"/>
      <c r="E22" s="778"/>
      <c r="F22" s="575">
        <f t="shared" si="2"/>
        <v>0</v>
      </c>
      <c r="G22" s="576"/>
      <c r="H22" s="584">
        <f t="shared" si="12"/>
        <v>0</v>
      </c>
      <c r="I22" s="779"/>
      <c r="J22" s="781"/>
      <c r="K22" s="782"/>
      <c r="L22" s="575">
        <f t="shared" si="3"/>
        <v>0</v>
      </c>
      <c r="M22" s="578"/>
      <c r="N22" s="584">
        <f t="shared" si="13"/>
        <v>0</v>
      </c>
      <c r="O22" s="784"/>
      <c r="P22" s="785"/>
      <c r="Q22" s="786"/>
      <c r="R22" s="575">
        <f t="shared" si="4"/>
        <v>0</v>
      </c>
      <c r="S22" s="578"/>
      <c r="T22" s="584">
        <f t="shared" si="14"/>
        <v>0</v>
      </c>
      <c r="U22" s="779"/>
      <c r="V22" s="779"/>
      <c r="W22" s="787"/>
      <c r="X22" s="575">
        <f t="shared" si="5"/>
        <v>0</v>
      </c>
      <c r="Y22" s="578"/>
      <c r="Z22" s="584">
        <f t="shared" si="15"/>
        <v>0</v>
      </c>
      <c r="AA22" s="779"/>
      <c r="AB22" s="779"/>
      <c r="AC22" s="787"/>
      <c r="AD22" s="575">
        <f t="shared" si="6"/>
        <v>0</v>
      </c>
      <c r="AE22" s="578"/>
      <c r="AF22" s="584">
        <f t="shared" si="16"/>
        <v>0</v>
      </c>
      <c r="AG22" s="779"/>
      <c r="AH22" s="779"/>
      <c r="AI22" s="787"/>
      <c r="AJ22" s="575">
        <f t="shared" si="7"/>
        <v>0</v>
      </c>
      <c r="AK22" s="578"/>
      <c r="AL22" s="584">
        <f t="shared" si="17"/>
        <v>0</v>
      </c>
      <c r="AM22" s="584"/>
      <c r="AN22" s="584"/>
      <c r="AO22" s="573"/>
      <c r="AP22" s="575">
        <f t="shared" si="8"/>
        <v>0</v>
      </c>
      <c r="AR22" s="584">
        <f t="shared" si="18"/>
        <v>9200</v>
      </c>
      <c r="AS22" s="584"/>
      <c r="AT22" s="584"/>
      <c r="AU22" s="584"/>
      <c r="AV22" s="575">
        <f t="shared" si="9"/>
        <v>9200</v>
      </c>
      <c r="AX22" s="584">
        <f t="shared" si="19"/>
        <v>0</v>
      </c>
      <c r="AY22" s="788"/>
      <c r="AZ22" s="788"/>
      <c r="BA22" s="575">
        <f t="shared" si="0"/>
        <v>0</v>
      </c>
      <c r="BC22" s="695">
        <f t="shared" si="10"/>
        <v>0</v>
      </c>
      <c r="BD22" s="788"/>
      <c r="BE22" s="788"/>
      <c r="BF22" s="696">
        <f t="shared" si="1"/>
        <v>0</v>
      </c>
    </row>
    <row r="23" spans="1:58" s="583" customFormat="1" ht="12.75">
      <c r="A23" s="571">
        <f>'Raw Material'!A25</f>
        <v>43820</v>
      </c>
      <c r="B23" s="584">
        <f t="shared" si="11"/>
        <v>0</v>
      </c>
      <c r="C23" s="779"/>
      <c r="D23" s="777"/>
      <c r="E23" s="778"/>
      <c r="F23" s="575">
        <f t="shared" si="2"/>
        <v>0</v>
      </c>
      <c r="G23" s="576"/>
      <c r="H23" s="584">
        <f t="shared" si="12"/>
        <v>0</v>
      </c>
      <c r="I23" s="779"/>
      <c r="J23" s="781"/>
      <c r="K23" s="782"/>
      <c r="L23" s="575">
        <f t="shared" si="3"/>
        <v>0</v>
      </c>
      <c r="M23" s="578"/>
      <c r="N23" s="584">
        <f t="shared" si="13"/>
        <v>0</v>
      </c>
      <c r="O23" s="784"/>
      <c r="P23" s="785"/>
      <c r="Q23" s="786"/>
      <c r="R23" s="575">
        <f t="shared" si="4"/>
        <v>0</v>
      </c>
      <c r="S23" s="578"/>
      <c r="T23" s="584">
        <f t="shared" si="14"/>
        <v>0</v>
      </c>
      <c r="U23" s="779"/>
      <c r="V23" s="779"/>
      <c r="W23" s="787"/>
      <c r="X23" s="575">
        <f t="shared" si="5"/>
        <v>0</v>
      </c>
      <c r="Y23" s="578"/>
      <c r="Z23" s="584">
        <f t="shared" si="15"/>
        <v>0</v>
      </c>
      <c r="AA23" s="779"/>
      <c r="AB23" s="779"/>
      <c r="AC23" s="787"/>
      <c r="AD23" s="575">
        <f t="shared" si="6"/>
        <v>0</v>
      </c>
      <c r="AE23" s="578"/>
      <c r="AF23" s="584">
        <f t="shared" si="16"/>
        <v>0</v>
      </c>
      <c r="AG23" s="779"/>
      <c r="AH23" s="779"/>
      <c r="AI23" s="787"/>
      <c r="AJ23" s="575">
        <f t="shared" si="7"/>
        <v>0</v>
      </c>
      <c r="AK23" s="578"/>
      <c r="AL23" s="584">
        <f t="shared" si="17"/>
        <v>0</v>
      </c>
      <c r="AM23" s="584"/>
      <c r="AN23" s="584"/>
      <c r="AO23" s="573"/>
      <c r="AP23" s="575">
        <f t="shared" si="8"/>
        <v>0</v>
      </c>
      <c r="AR23" s="584">
        <f t="shared" si="18"/>
        <v>9200</v>
      </c>
      <c r="AS23" s="584"/>
      <c r="AT23" s="584"/>
      <c r="AU23" s="584"/>
      <c r="AV23" s="575">
        <f t="shared" si="9"/>
        <v>9200</v>
      </c>
      <c r="AX23" s="584">
        <f t="shared" si="19"/>
        <v>0</v>
      </c>
      <c r="AY23" s="779"/>
      <c r="AZ23" s="779"/>
      <c r="BA23" s="575">
        <f t="shared" si="0"/>
        <v>0</v>
      </c>
      <c r="BC23" s="695">
        <f t="shared" si="10"/>
        <v>0</v>
      </c>
      <c r="BD23" s="788"/>
      <c r="BE23" s="788"/>
      <c r="BF23" s="696">
        <f t="shared" si="1"/>
        <v>0</v>
      </c>
    </row>
    <row r="24" spans="1:58" s="583" customFormat="1" ht="12.75">
      <c r="A24" s="571">
        <f>'Raw Material'!A26</f>
        <v>43821</v>
      </c>
      <c r="B24" s="584">
        <f t="shared" si="11"/>
        <v>0</v>
      </c>
      <c r="C24" s="779"/>
      <c r="D24" s="777"/>
      <c r="E24" s="778"/>
      <c r="F24" s="575">
        <f t="shared" si="2"/>
        <v>0</v>
      </c>
      <c r="G24" s="576"/>
      <c r="H24" s="584">
        <f t="shared" si="12"/>
        <v>0</v>
      </c>
      <c r="I24" s="779"/>
      <c r="J24" s="781"/>
      <c r="K24" s="782"/>
      <c r="L24" s="575">
        <f t="shared" si="3"/>
        <v>0</v>
      </c>
      <c r="M24" s="578"/>
      <c r="N24" s="584">
        <f t="shared" si="13"/>
        <v>0</v>
      </c>
      <c r="O24" s="784"/>
      <c r="P24" s="785"/>
      <c r="Q24" s="786"/>
      <c r="R24" s="575">
        <f t="shared" si="4"/>
        <v>0</v>
      </c>
      <c r="S24" s="578"/>
      <c r="T24" s="584">
        <f t="shared" si="14"/>
        <v>0</v>
      </c>
      <c r="U24" s="779"/>
      <c r="V24" s="779"/>
      <c r="W24" s="787"/>
      <c r="X24" s="575">
        <f t="shared" si="5"/>
        <v>0</v>
      </c>
      <c r="Y24" s="578"/>
      <c r="Z24" s="584">
        <f t="shared" si="15"/>
        <v>0</v>
      </c>
      <c r="AA24" s="779"/>
      <c r="AB24" s="779"/>
      <c r="AC24" s="787"/>
      <c r="AD24" s="575">
        <f t="shared" si="6"/>
        <v>0</v>
      </c>
      <c r="AE24" s="578"/>
      <c r="AF24" s="584">
        <f t="shared" si="16"/>
        <v>0</v>
      </c>
      <c r="AG24" s="779"/>
      <c r="AH24" s="779"/>
      <c r="AI24" s="787"/>
      <c r="AJ24" s="575">
        <f t="shared" si="7"/>
        <v>0</v>
      </c>
      <c r="AK24" s="578"/>
      <c r="AL24" s="584">
        <f t="shared" si="17"/>
        <v>0</v>
      </c>
      <c r="AM24" s="584"/>
      <c r="AN24" s="584"/>
      <c r="AO24" s="573"/>
      <c r="AP24" s="575">
        <f t="shared" si="8"/>
        <v>0</v>
      </c>
      <c r="AR24" s="584">
        <f t="shared" si="18"/>
        <v>9200</v>
      </c>
      <c r="AS24" s="584"/>
      <c r="AT24" s="682"/>
      <c r="AU24" s="584"/>
      <c r="AV24" s="575">
        <f t="shared" si="9"/>
        <v>9200</v>
      </c>
      <c r="AX24" s="584">
        <f t="shared" si="19"/>
        <v>0</v>
      </c>
      <c r="AY24" s="779"/>
      <c r="AZ24" s="779"/>
      <c r="BA24" s="575">
        <f t="shared" si="0"/>
        <v>0</v>
      </c>
      <c r="BC24" s="695">
        <f t="shared" si="10"/>
        <v>0</v>
      </c>
      <c r="BD24" s="788"/>
      <c r="BE24" s="788"/>
      <c r="BF24" s="696">
        <f t="shared" si="1"/>
        <v>0</v>
      </c>
    </row>
    <row r="25" spans="1:58" s="583" customFormat="1" ht="12.75">
      <c r="A25" s="571">
        <f>'Raw Material'!A27</f>
        <v>43822</v>
      </c>
      <c r="B25" s="584">
        <f t="shared" si="11"/>
        <v>0</v>
      </c>
      <c r="C25" s="779"/>
      <c r="D25" s="778"/>
      <c r="E25" s="778"/>
      <c r="F25" s="575">
        <f t="shared" si="2"/>
        <v>0</v>
      </c>
      <c r="G25" s="586"/>
      <c r="H25" s="584">
        <f t="shared" si="12"/>
        <v>0</v>
      </c>
      <c r="I25" s="779"/>
      <c r="J25" s="781"/>
      <c r="K25" s="782"/>
      <c r="L25" s="575">
        <f t="shared" si="3"/>
        <v>0</v>
      </c>
      <c r="M25" s="578"/>
      <c r="N25" s="584">
        <f t="shared" si="13"/>
        <v>0</v>
      </c>
      <c r="O25" s="784"/>
      <c r="P25" s="785"/>
      <c r="Q25" s="786"/>
      <c r="R25" s="575">
        <f t="shared" si="4"/>
        <v>0</v>
      </c>
      <c r="S25" s="578"/>
      <c r="T25" s="584">
        <f t="shared" si="14"/>
        <v>0</v>
      </c>
      <c r="U25" s="779"/>
      <c r="V25" s="779"/>
      <c r="W25" s="787"/>
      <c r="X25" s="575">
        <f t="shared" si="5"/>
        <v>0</v>
      </c>
      <c r="Y25" s="578"/>
      <c r="Z25" s="584">
        <f t="shared" si="15"/>
        <v>0</v>
      </c>
      <c r="AA25" s="779"/>
      <c r="AB25" s="779"/>
      <c r="AC25" s="787"/>
      <c r="AD25" s="575">
        <f t="shared" si="6"/>
        <v>0</v>
      </c>
      <c r="AE25" s="578"/>
      <c r="AF25" s="584">
        <f t="shared" si="16"/>
        <v>0</v>
      </c>
      <c r="AG25" s="779"/>
      <c r="AH25" s="779"/>
      <c r="AI25" s="787"/>
      <c r="AJ25" s="575">
        <f t="shared" si="7"/>
        <v>0</v>
      </c>
      <c r="AK25" s="578"/>
      <c r="AL25" s="584">
        <f t="shared" si="17"/>
        <v>0</v>
      </c>
      <c r="AM25" s="584"/>
      <c r="AN25" s="584"/>
      <c r="AO25" s="573"/>
      <c r="AP25" s="575">
        <f t="shared" si="8"/>
        <v>0</v>
      </c>
      <c r="AR25" s="584">
        <f t="shared" si="18"/>
        <v>9200</v>
      </c>
      <c r="AS25" s="584"/>
      <c r="AT25" s="584"/>
      <c r="AU25" s="584"/>
      <c r="AV25" s="575">
        <f t="shared" si="9"/>
        <v>9200</v>
      </c>
      <c r="AX25" s="584">
        <f t="shared" si="19"/>
        <v>0</v>
      </c>
      <c r="AY25" s="779"/>
      <c r="AZ25" s="779"/>
      <c r="BA25" s="575">
        <f t="shared" si="0"/>
        <v>0</v>
      </c>
      <c r="BC25" s="695">
        <f t="shared" si="10"/>
        <v>0</v>
      </c>
      <c r="BD25" s="788"/>
      <c r="BE25" s="788"/>
      <c r="BF25" s="696">
        <f t="shared" si="1"/>
        <v>0</v>
      </c>
    </row>
    <row r="26" spans="1:58" s="583" customFormat="1" ht="12.75">
      <c r="A26" s="571">
        <f>'Raw Material'!A28</f>
        <v>43823</v>
      </c>
      <c r="B26" s="584">
        <f>F25</f>
        <v>0</v>
      </c>
      <c r="C26" s="779"/>
      <c r="D26" s="777"/>
      <c r="E26" s="778"/>
      <c r="F26" s="575">
        <f t="shared" si="2"/>
        <v>0</v>
      </c>
      <c r="H26" s="584">
        <f t="shared" si="12"/>
        <v>0</v>
      </c>
      <c r="I26" s="779"/>
      <c r="J26" s="781"/>
      <c r="K26" s="782"/>
      <c r="L26" s="575">
        <f t="shared" si="3"/>
        <v>0</v>
      </c>
      <c r="M26" s="578"/>
      <c r="N26" s="584">
        <f t="shared" si="13"/>
        <v>0</v>
      </c>
      <c r="O26" s="784"/>
      <c r="P26" s="785"/>
      <c r="Q26" s="786"/>
      <c r="R26" s="575">
        <f t="shared" si="4"/>
        <v>0</v>
      </c>
      <c r="S26" s="578"/>
      <c r="T26" s="584">
        <f t="shared" si="14"/>
        <v>0</v>
      </c>
      <c r="U26" s="779"/>
      <c r="V26" s="779"/>
      <c r="W26" s="787"/>
      <c r="X26" s="575">
        <f t="shared" si="5"/>
        <v>0</v>
      </c>
      <c r="Y26" s="578"/>
      <c r="Z26" s="584">
        <f t="shared" si="15"/>
        <v>0</v>
      </c>
      <c r="AA26" s="779"/>
      <c r="AB26" s="779"/>
      <c r="AC26" s="787"/>
      <c r="AD26" s="575">
        <f t="shared" si="6"/>
        <v>0</v>
      </c>
      <c r="AE26" s="578"/>
      <c r="AF26" s="584">
        <f t="shared" si="16"/>
        <v>0</v>
      </c>
      <c r="AG26" s="779"/>
      <c r="AH26" s="779"/>
      <c r="AI26" s="787"/>
      <c r="AJ26" s="575">
        <f t="shared" si="7"/>
        <v>0</v>
      </c>
      <c r="AK26" s="578"/>
      <c r="AL26" s="584">
        <f t="shared" si="17"/>
        <v>0</v>
      </c>
      <c r="AM26" s="584"/>
      <c r="AN26" s="584"/>
      <c r="AO26" s="573"/>
      <c r="AP26" s="575">
        <f t="shared" si="8"/>
        <v>0</v>
      </c>
      <c r="AR26" s="584">
        <f t="shared" si="18"/>
        <v>9200</v>
      </c>
      <c r="AS26" s="584"/>
      <c r="AT26" s="584"/>
      <c r="AU26" s="584"/>
      <c r="AV26" s="575">
        <f t="shared" si="9"/>
        <v>9200</v>
      </c>
      <c r="AX26" s="584">
        <f t="shared" si="19"/>
        <v>0</v>
      </c>
      <c r="AY26" s="779"/>
      <c r="AZ26" s="779"/>
      <c r="BA26" s="575">
        <f t="shared" si="0"/>
        <v>0</v>
      </c>
      <c r="BC26" s="695">
        <f t="shared" si="10"/>
        <v>0</v>
      </c>
      <c r="BD26" s="788"/>
      <c r="BE26" s="788"/>
      <c r="BF26" s="696">
        <f t="shared" si="1"/>
        <v>0</v>
      </c>
    </row>
    <row r="27" spans="1:58" s="583" customFormat="1" ht="12.75">
      <c r="A27" s="571">
        <f>'Raw Material'!A29</f>
        <v>43824</v>
      </c>
      <c r="B27" s="584">
        <f t="shared" si="11"/>
        <v>0</v>
      </c>
      <c r="C27" s="779"/>
      <c r="D27" s="777"/>
      <c r="E27" s="778"/>
      <c r="F27" s="575">
        <f t="shared" si="2"/>
        <v>0</v>
      </c>
      <c r="G27" s="576"/>
      <c r="H27" s="584">
        <f t="shared" si="12"/>
        <v>0</v>
      </c>
      <c r="I27" s="779"/>
      <c r="J27" s="781"/>
      <c r="K27" s="782"/>
      <c r="L27" s="575">
        <f t="shared" si="3"/>
        <v>0</v>
      </c>
      <c r="M27" s="578"/>
      <c r="N27" s="584">
        <f t="shared" si="13"/>
        <v>0</v>
      </c>
      <c r="O27" s="784"/>
      <c r="P27" s="785"/>
      <c r="Q27" s="786"/>
      <c r="R27" s="575">
        <f t="shared" si="4"/>
        <v>0</v>
      </c>
      <c r="S27" s="578"/>
      <c r="T27" s="584">
        <f t="shared" si="14"/>
        <v>0</v>
      </c>
      <c r="U27" s="779"/>
      <c r="V27" s="779"/>
      <c r="W27" s="787"/>
      <c r="X27" s="575">
        <f t="shared" si="5"/>
        <v>0</v>
      </c>
      <c r="Y27" s="578"/>
      <c r="Z27" s="584">
        <f t="shared" si="15"/>
        <v>0</v>
      </c>
      <c r="AA27" s="779"/>
      <c r="AB27" s="779"/>
      <c r="AC27" s="787"/>
      <c r="AD27" s="575">
        <f t="shared" si="6"/>
        <v>0</v>
      </c>
      <c r="AE27" s="578"/>
      <c r="AF27" s="584">
        <f t="shared" si="16"/>
        <v>0</v>
      </c>
      <c r="AG27" s="779"/>
      <c r="AH27" s="779"/>
      <c r="AI27" s="787"/>
      <c r="AJ27" s="575">
        <f t="shared" si="7"/>
        <v>0</v>
      </c>
      <c r="AK27" s="578"/>
      <c r="AL27" s="584">
        <f t="shared" si="17"/>
        <v>0</v>
      </c>
      <c r="AM27" s="584"/>
      <c r="AN27" s="584"/>
      <c r="AO27" s="573"/>
      <c r="AP27" s="575">
        <f t="shared" si="8"/>
        <v>0</v>
      </c>
      <c r="AR27" s="584">
        <f t="shared" si="18"/>
        <v>9200</v>
      </c>
      <c r="AS27" s="584"/>
      <c r="AT27" s="584"/>
      <c r="AU27" s="584"/>
      <c r="AV27" s="575">
        <f t="shared" si="9"/>
        <v>9200</v>
      </c>
      <c r="AX27" s="584">
        <f t="shared" si="19"/>
        <v>0</v>
      </c>
      <c r="AY27" s="779"/>
      <c r="AZ27" s="779"/>
      <c r="BA27" s="575">
        <f t="shared" si="0"/>
        <v>0</v>
      </c>
      <c r="BC27" s="695">
        <f t="shared" si="10"/>
        <v>0</v>
      </c>
      <c r="BD27" s="788"/>
      <c r="BE27" s="788"/>
      <c r="BF27" s="696">
        <f t="shared" si="1"/>
        <v>0</v>
      </c>
    </row>
    <row r="28" spans="1:58" s="583" customFormat="1" ht="12.75">
      <c r="A28" s="571">
        <f>'Raw Material'!A30</f>
        <v>43825</v>
      </c>
      <c r="B28" s="584">
        <f t="shared" si="11"/>
        <v>0</v>
      </c>
      <c r="C28" s="779"/>
      <c r="D28" s="777"/>
      <c r="E28" s="778"/>
      <c r="F28" s="575">
        <f t="shared" si="2"/>
        <v>0</v>
      </c>
      <c r="G28" s="576"/>
      <c r="H28" s="584">
        <f t="shared" si="12"/>
        <v>0</v>
      </c>
      <c r="I28" s="779"/>
      <c r="J28" s="781"/>
      <c r="K28" s="782"/>
      <c r="L28" s="575">
        <f t="shared" si="3"/>
        <v>0</v>
      </c>
      <c r="M28" s="578"/>
      <c r="N28" s="584">
        <f t="shared" si="13"/>
        <v>0</v>
      </c>
      <c r="O28" s="784"/>
      <c r="P28" s="785"/>
      <c r="Q28" s="786"/>
      <c r="R28" s="575">
        <f t="shared" si="4"/>
        <v>0</v>
      </c>
      <c r="S28" s="578"/>
      <c r="T28" s="584">
        <f t="shared" si="14"/>
        <v>0</v>
      </c>
      <c r="U28" s="779"/>
      <c r="V28" s="779"/>
      <c r="W28" s="787"/>
      <c r="X28" s="575">
        <f t="shared" si="5"/>
        <v>0</v>
      </c>
      <c r="Y28" s="578"/>
      <c r="Z28" s="584">
        <f t="shared" si="15"/>
        <v>0</v>
      </c>
      <c r="AA28" s="779"/>
      <c r="AB28" s="779"/>
      <c r="AC28" s="787"/>
      <c r="AD28" s="575">
        <f t="shared" si="6"/>
        <v>0</v>
      </c>
      <c r="AE28" s="578"/>
      <c r="AF28" s="584">
        <f t="shared" si="16"/>
        <v>0</v>
      </c>
      <c r="AG28" s="779"/>
      <c r="AH28" s="779"/>
      <c r="AI28" s="787"/>
      <c r="AJ28" s="575">
        <f t="shared" si="7"/>
        <v>0</v>
      </c>
      <c r="AK28" s="578"/>
      <c r="AL28" s="584">
        <f t="shared" si="17"/>
        <v>0</v>
      </c>
      <c r="AM28" s="584"/>
      <c r="AN28" s="584"/>
      <c r="AO28" s="573"/>
      <c r="AP28" s="575">
        <f t="shared" si="8"/>
        <v>0</v>
      </c>
      <c r="AR28" s="584">
        <f t="shared" si="18"/>
        <v>9200</v>
      </c>
      <c r="AS28" s="584"/>
      <c r="AT28" s="584"/>
      <c r="AU28" s="584"/>
      <c r="AV28" s="575">
        <f t="shared" si="9"/>
        <v>9200</v>
      </c>
      <c r="AX28" s="584">
        <f t="shared" si="19"/>
        <v>0</v>
      </c>
      <c r="AY28" s="779"/>
      <c r="AZ28" s="779"/>
      <c r="BA28" s="575">
        <f t="shared" si="0"/>
        <v>0</v>
      </c>
      <c r="BC28" s="695">
        <f t="shared" si="10"/>
        <v>0</v>
      </c>
      <c r="BD28" s="788"/>
      <c r="BE28" s="788"/>
      <c r="BF28" s="696">
        <f t="shared" si="1"/>
        <v>0</v>
      </c>
    </row>
    <row r="29" spans="1:58" s="583" customFormat="1" ht="12.75">
      <c r="A29" s="571">
        <f>'Raw Material'!A31</f>
        <v>43826</v>
      </c>
      <c r="B29" s="584">
        <f t="shared" si="11"/>
        <v>0</v>
      </c>
      <c r="C29" s="779"/>
      <c r="D29" s="777"/>
      <c r="E29" s="778"/>
      <c r="F29" s="575">
        <f t="shared" si="2"/>
        <v>0</v>
      </c>
      <c r="G29" s="576"/>
      <c r="H29" s="584">
        <f t="shared" si="12"/>
        <v>0</v>
      </c>
      <c r="I29" s="779"/>
      <c r="J29" s="781"/>
      <c r="K29" s="782"/>
      <c r="L29" s="575">
        <f t="shared" si="3"/>
        <v>0</v>
      </c>
      <c r="M29" s="576"/>
      <c r="N29" s="584">
        <f t="shared" si="13"/>
        <v>0</v>
      </c>
      <c r="O29" s="784"/>
      <c r="P29" s="785"/>
      <c r="Q29" s="786"/>
      <c r="R29" s="575">
        <f t="shared" si="4"/>
        <v>0</v>
      </c>
      <c r="S29" s="576"/>
      <c r="T29" s="584">
        <f t="shared" si="14"/>
        <v>0</v>
      </c>
      <c r="U29" s="779"/>
      <c r="V29" s="779"/>
      <c r="W29" s="787"/>
      <c r="X29" s="575">
        <f t="shared" si="5"/>
        <v>0</v>
      </c>
      <c r="Y29" s="576"/>
      <c r="Z29" s="584">
        <f t="shared" si="15"/>
        <v>0</v>
      </c>
      <c r="AA29" s="779"/>
      <c r="AB29" s="779"/>
      <c r="AC29" s="787"/>
      <c r="AD29" s="575">
        <f t="shared" si="6"/>
        <v>0</v>
      </c>
      <c r="AE29" s="576"/>
      <c r="AF29" s="584">
        <f t="shared" si="16"/>
        <v>0</v>
      </c>
      <c r="AG29" s="779"/>
      <c r="AH29" s="779"/>
      <c r="AI29" s="787"/>
      <c r="AJ29" s="575">
        <f t="shared" si="7"/>
        <v>0</v>
      </c>
      <c r="AK29" s="576"/>
      <c r="AL29" s="584">
        <f t="shared" si="17"/>
        <v>0</v>
      </c>
      <c r="AM29" s="584"/>
      <c r="AN29" s="584"/>
      <c r="AO29" s="573"/>
      <c r="AP29" s="575">
        <f t="shared" si="8"/>
        <v>0</v>
      </c>
      <c r="AR29" s="584">
        <f t="shared" si="18"/>
        <v>9200</v>
      </c>
      <c r="AS29" s="584"/>
      <c r="AT29" s="584"/>
      <c r="AU29" s="584"/>
      <c r="AV29" s="575">
        <f t="shared" si="9"/>
        <v>9200</v>
      </c>
      <c r="AX29" s="584">
        <f t="shared" si="19"/>
        <v>0</v>
      </c>
      <c r="AY29" s="779"/>
      <c r="AZ29" s="779"/>
      <c r="BA29" s="575">
        <f t="shared" si="0"/>
        <v>0</v>
      </c>
      <c r="BC29" s="695">
        <f t="shared" si="10"/>
        <v>0</v>
      </c>
      <c r="BD29" s="788"/>
      <c r="BE29" s="788"/>
      <c r="BF29" s="696">
        <f t="shared" si="1"/>
        <v>0</v>
      </c>
    </row>
    <row r="30" spans="1:58" s="583" customFormat="1" ht="12.75">
      <c r="A30" s="571">
        <f>'Raw Material'!A32</f>
        <v>43827</v>
      </c>
      <c r="B30" s="584">
        <f t="shared" si="11"/>
        <v>0</v>
      </c>
      <c r="C30" s="779"/>
      <c r="D30" s="777"/>
      <c r="E30" s="778"/>
      <c r="F30" s="575">
        <f t="shared" si="2"/>
        <v>0</v>
      </c>
      <c r="G30" s="576"/>
      <c r="H30" s="584">
        <f t="shared" si="12"/>
        <v>0</v>
      </c>
      <c r="I30" s="779"/>
      <c r="J30" s="781"/>
      <c r="K30" s="782"/>
      <c r="L30" s="575">
        <f t="shared" si="3"/>
        <v>0</v>
      </c>
      <c r="M30" s="576"/>
      <c r="N30" s="584">
        <f t="shared" si="13"/>
        <v>0</v>
      </c>
      <c r="O30" s="784"/>
      <c r="P30" s="785"/>
      <c r="Q30" s="786"/>
      <c r="R30" s="575">
        <f t="shared" si="4"/>
        <v>0</v>
      </c>
      <c r="S30" s="576"/>
      <c r="T30" s="584">
        <f t="shared" si="14"/>
        <v>0</v>
      </c>
      <c r="U30" s="779"/>
      <c r="V30" s="779"/>
      <c r="W30" s="787"/>
      <c r="X30" s="575">
        <f t="shared" si="5"/>
        <v>0</v>
      </c>
      <c r="Y30" s="576"/>
      <c r="Z30" s="584">
        <f t="shared" si="15"/>
        <v>0</v>
      </c>
      <c r="AA30" s="779"/>
      <c r="AB30" s="779"/>
      <c r="AC30" s="787"/>
      <c r="AD30" s="575">
        <f t="shared" si="6"/>
        <v>0</v>
      </c>
      <c r="AE30" s="576"/>
      <c r="AF30" s="584">
        <f t="shared" si="16"/>
        <v>0</v>
      </c>
      <c r="AG30" s="779"/>
      <c r="AH30" s="779"/>
      <c r="AI30" s="787"/>
      <c r="AJ30" s="575">
        <f t="shared" si="7"/>
        <v>0</v>
      </c>
      <c r="AK30" s="576"/>
      <c r="AL30" s="584">
        <f t="shared" si="17"/>
        <v>0</v>
      </c>
      <c r="AM30" s="584"/>
      <c r="AN30" s="584"/>
      <c r="AO30" s="573"/>
      <c r="AP30" s="575">
        <f t="shared" si="8"/>
        <v>0</v>
      </c>
      <c r="AR30" s="584">
        <f t="shared" si="18"/>
        <v>9200</v>
      </c>
      <c r="AS30" s="584"/>
      <c r="AT30" s="584"/>
      <c r="AU30" s="584"/>
      <c r="AV30" s="575">
        <f t="shared" si="9"/>
        <v>9200</v>
      </c>
      <c r="AX30" s="584">
        <f t="shared" si="19"/>
        <v>0</v>
      </c>
      <c r="AY30" s="779"/>
      <c r="AZ30" s="779"/>
      <c r="BA30" s="575">
        <f t="shared" si="0"/>
        <v>0</v>
      </c>
      <c r="BC30" s="695">
        <f t="shared" si="10"/>
        <v>0</v>
      </c>
      <c r="BD30" s="788"/>
      <c r="BE30" s="788"/>
      <c r="BF30" s="696">
        <f t="shared" si="1"/>
        <v>0</v>
      </c>
    </row>
    <row r="31" spans="1:58" s="745" customFormat="1" ht="12.75">
      <c r="A31" s="742">
        <f>'Raw Material'!A33</f>
        <v>43828</v>
      </c>
      <c r="B31" s="743">
        <f t="shared" ref="B31:B33" si="20">F30</f>
        <v>0</v>
      </c>
      <c r="C31" s="780"/>
      <c r="D31" s="777"/>
      <c r="E31" s="778"/>
      <c r="F31" s="575">
        <f t="shared" si="2"/>
        <v>0</v>
      </c>
      <c r="G31" s="744"/>
      <c r="H31" s="743">
        <f t="shared" ref="H31:H33" si="21">L30</f>
        <v>0</v>
      </c>
      <c r="I31" s="780"/>
      <c r="J31" s="781"/>
      <c r="K31" s="782"/>
      <c r="L31" s="575">
        <f t="shared" si="3"/>
        <v>0</v>
      </c>
      <c r="M31" s="744"/>
      <c r="N31" s="743">
        <f t="shared" ref="N31:N33" si="22">R30</f>
        <v>0</v>
      </c>
      <c r="O31" s="784"/>
      <c r="P31" s="785"/>
      <c r="Q31" s="786"/>
      <c r="R31" s="575">
        <f t="shared" si="4"/>
        <v>0</v>
      </c>
      <c r="S31" s="744"/>
      <c r="T31" s="743">
        <f t="shared" ref="T31:T33" si="23">X30</f>
        <v>0</v>
      </c>
      <c r="U31" s="780"/>
      <c r="V31" s="780"/>
      <c r="W31" s="787"/>
      <c r="X31" s="575">
        <f t="shared" si="5"/>
        <v>0</v>
      </c>
      <c r="Y31" s="744"/>
      <c r="Z31" s="743">
        <f t="shared" ref="Z31:Z33" si="24">AD30</f>
        <v>0</v>
      </c>
      <c r="AA31" s="780"/>
      <c r="AB31" s="780"/>
      <c r="AC31" s="787"/>
      <c r="AD31" s="575">
        <f t="shared" si="6"/>
        <v>0</v>
      </c>
      <c r="AE31" s="744"/>
      <c r="AF31" s="743">
        <f t="shared" ref="AF31:AF33" si="25">AJ30</f>
        <v>0</v>
      </c>
      <c r="AG31" s="780"/>
      <c r="AH31" s="780"/>
      <c r="AI31" s="787"/>
      <c r="AJ31" s="575">
        <f t="shared" si="7"/>
        <v>0</v>
      </c>
      <c r="AK31" s="744"/>
      <c r="AL31" s="743">
        <f t="shared" ref="AL31:AL33" si="26">AP30</f>
        <v>0</v>
      </c>
      <c r="AM31" s="743"/>
      <c r="AN31" s="743"/>
      <c r="AO31" s="794"/>
      <c r="AP31" s="575">
        <f t="shared" si="8"/>
        <v>0</v>
      </c>
      <c r="AR31" s="743">
        <f t="shared" si="18"/>
        <v>9200</v>
      </c>
      <c r="AS31" s="743"/>
      <c r="AT31" s="743"/>
      <c r="AU31" s="743"/>
      <c r="AV31" s="575">
        <f t="shared" si="9"/>
        <v>9200</v>
      </c>
      <c r="AX31" s="743">
        <f t="shared" si="19"/>
        <v>0</v>
      </c>
      <c r="AY31" s="780"/>
      <c r="AZ31" s="780"/>
      <c r="BA31" s="575">
        <f t="shared" si="0"/>
        <v>0</v>
      </c>
      <c r="BC31" s="695">
        <f>BF29</f>
        <v>0</v>
      </c>
      <c r="BD31" s="788"/>
      <c r="BE31" s="788"/>
      <c r="BF31" s="696">
        <f t="shared" si="1"/>
        <v>0</v>
      </c>
    </row>
    <row r="32" spans="1:58" s="745" customFormat="1" ht="12.75">
      <c r="A32" s="742">
        <f>'Raw Material'!A34</f>
        <v>43829</v>
      </c>
      <c r="B32" s="743">
        <f t="shared" si="20"/>
        <v>0</v>
      </c>
      <c r="C32" s="780"/>
      <c r="D32" s="777"/>
      <c r="E32" s="778"/>
      <c r="F32" s="575">
        <f t="shared" si="2"/>
        <v>0</v>
      </c>
      <c r="G32" s="744"/>
      <c r="H32" s="743">
        <f t="shared" si="21"/>
        <v>0</v>
      </c>
      <c r="I32" s="780"/>
      <c r="J32" s="781"/>
      <c r="K32" s="782"/>
      <c r="L32" s="575">
        <f t="shared" si="3"/>
        <v>0</v>
      </c>
      <c r="M32" s="744"/>
      <c r="N32" s="743">
        <f t="shared" si="22"/>
        <v>0</v>
      </c>
      <c r="O32" s="784"/>
      <c r="P32" s="785"/>
      <c r="Q32" s="786"/>
      <c r="R32" s="575">
        <f t="shared" si="4"/>
        <v>0</v>
      </c>
      <c r="S32" s="744"/>
      <c r="T32" s="743">
        <f t="shared" si="23"/>
        <v>0</v>
      </c>
      <c r="U32" s="780"/>
      <c r="V32" s="780"/>
      <c r="W32" s="787"/>
      <c r="X32" s="575">
        <f t="shared" si="5"/>
        <v>0</v>
      </c>
      <c r="Y32" s="744"/>
      <c r="Z32" s="743">
        <f t="shared" si="24"/>
        <v>0</v>
      </c>
      <c r="AA32" s="780"/>
      <c r="AB32" s="780"/>
      <c r="AC32" s="787"/>
      <c r="AD32" s="575">
        <f t="shared" si="6"/>
        <v>0</v>
      </c>
      <c r="AE32" s="744"/>
      <c r="AF32" s="743">
        <f t="shared" si="25"/>
        <v>0</v>
      </c>
      <c r="AG32" s="780"/>
      <c r="AH32" s="780"/>
      <c r="AI32" s="787"/>
      <c r="AJ32" s="575">
        <f t="shared" si="7"/>
        <v>0</v>
      </c>
      <c r="AK32" s="744"/>
      <c r="AL32" s="743">
        <f t="shared" si="26"/>
        <v>0</v>
      </c>
      <c r="AM32" s="743"/>
      <c r="AN32" s="743"/>
      <c r="AO32" s="794"/>
      <c r="AP32" s="575">
        <f t="shared" si="8"/>
        <v>0</v>
      </c>
      <c r="AR32" s="743">
        <f t="shared" si="18"/>
        <v>9200</v>
      </c>
      <c r="AS32" s="743"/>
      <c r="AT32" s="743"/>
      <c r="AU32" s="743"/>
      <c r="AV32" s="575">
        <f t="shared" si="9"/>
        <v>9200</v>
      </c>
      <c r="AX32" s="743">
        <f t="shared" si="19"/>
        <v>0</v>
      </c>
      <c r="AY32" s="780"/>
      <c r="AZ32" s="780"/>
      <c r="BA32" s="575">
        <f t="shared" si="0"/>
        <v>0</v>
      </c>
      <c r="BC32" s="695">
        <f t="shared" si="10"/>
        <v>0</v>
      </c>
      <c r="BD32" s="788"/>
      <c r="BE32" s="788"/>
      <c r="BF32" s="696">
        <f t="shared" si="1"/>
        <v>0</v>
      </c>
    </row>
    <row r="33" spans="1:58" s="745" customFormat="1" ht="12.75">
      <c r="A33" s="742">
        <f>'Raw Material'!A35</f>
        <v>43830</v>
      </c>
      <c r="B33" s="743">
        <f t="shared" si="20"/>
        <v>0</v>
      </c>
      <c r="C33" s="743"/>
      <c r="D33" s="574"/>
      <c r="E33" s="585"/>
      <c r="F33" s="575">
        <f t="shared" si="2"/>
        <v>0</v>
      </c>
      <c r="G33" s="744"/>
      <c r="H33" s="743">
        <f t="shared" si="21"/>
        <v>0</v>
      </c>
      <c r="I33" s="743"/>
      <c r="J33" s="577"/>
      <c r="K33" s="762"/>
      <c r="L33" s="575">
        <f t="shared" ref="L33" si="27">H33+I33-J33</f>
        <v>0</v>
      </c>
      <c r="M33" s="744"/>
      <c r="N33" s="743">
        <f t="shared" si="22"/>
        <v>0</v>
      </c>
      <c r="O33" s="580"/>
      <c r="P33" s="581"/>
      <c r="Q33" s="766"/>
      <c r="R33" s="575">
        <f t="shared" si="4"/>
        <v>0</v>
      </c>
      <c r="S33" s="744"/>
      <c r="T33" s="743">
        <f t="shared" si="23"/>
        <v>0</v>
      </c>
      <c r="U33" s="743"/>
      <c r="V33" s="743"/>
      <c r="W33" s="768"/>
      <c r="X33" s="575">
        <f t="shared" ref="X33" si="28">T33+U33-V33</f>
        <v>0</v>
      </c>
      <c r="Y33" s="744"/>
      <c r="Z33" s="743">
        <f t="shared" si="24"/>
        <v>0</v>
      </c>
      <c r="AA33" s="743"/>
      <c r="AB33" s="743"/>
      <c r="AC33" s="768"/>
      <c r="AD33" s="575">
        <f t="shared" ref="AD33" si="29">Z33+AA33-AB33</f>
        <v>0</v>
      </c>
      <c r="AE33" s="744"/>
      <c r="AF33" s="743">
        <f t="shared" si="25"/>
        <v>0</v>
      </c>
      <c r="AG33" s="743"/>
      <c r="AH33" s="743"/>
      <c r="AI33" s="768"/>
      <c r="AJ33" s="575">
        <f t="shared" ref="AJ33" si="30">AF33+AG33-AH33</f>
        <v>0</v>
      </c>
      <c r="AK33" s="744"/>
      <c r="AL33" s="743">
        <f t="shared" si="26"/>
        <v>0</v>
      </c>
      <c r="AM33" s="743"/>
      <c r="AN33" s="743"/>
      <c r="AO33" s="794"/>
      <c r="AP33" s="575">
        <f t="shared" si="8"/>
        <v>0</v>
      </c>
      <c r="AR33" s="743">
        <f t="shared" si="18"/>
        <v>9200</v>
      </c>
      <c r="AS33" s="743"/>
      <c r="AT33" s="743"/>
      <c r="AU33" s="743"/>
      <c r="AV33" s="575">
        <f t="shared" si="9"/>
        <v>9200</v>
      </c>
      <c r="AX33" s="743">
        <f t="shared" si="19"/>
        <v>0</v>
      </c>
      <c r="AY33" s="743"/>
      <c r="AZ33" s="743"/>
      <c r="BA33" s="575">
        <f t="shared" si="0"/>
        <v>0</v>
      </c>
      <c r="BC33" s="695">
        <f>BF32</f>
        <v>0</v>
      </c>
      <c r="BD33" s="696"/>
      <c r="BE33" s="696"/>
      <c r="BF33" s="696">
        <f>BC33+BD33-BE33</f>
        <v>0</v>
      </c>
    </row>
    <row r="34" spans="1:58" s="583" customFormat="1" ht="13.5" thickBot="1">
      <c r="A34" s="587"/>
      <c r="B34" s="588">
        <f>ROUND(B3,3)</f>
        <v>0</v>
      </c>
      <c r="C34" s="783"/>
      <c r="D34" s="589">
        <f>C34</f>
        <v>0</v>
      </c>
      <c r="E34" s="756"/>
      <c r="F34" s="589">
        <f>B34+C34-D34</f>
        <v>0</v>
      </c>
      <c r="H34" s="588">
        <f>ROUND(H3,3)</f>
        <v>0</v>
      </c>
      <c r="I34" s="783"/>
      <c r="J34" s="589">
        <f>I34</f>
        <v>0</v>
      </c>
      <c r="K34" s="756"/>
      <c r="L34" s="589">
        <f>H34+I34-J34</f>
        <v>0</v>
      </c>
      <c r="M34" s="590"/>
      <c r="N34" s="588">
        <f>ROUND(N3,3)</f>
        <v>0</v>
      </c>
      <c r="O34" s="783"/>
      <c r="P34" s="589">
        <f>O34</f>
        <v>0</v>
      </c>
      <c r="Q34" s="756"/>
      <c r="R34" s="589">
        <f>N34+O34-P34</f>
        <v>0</v>
      </c>
      <c r="S34" s="590"/>
      <c r="T34" s="588">
        <f>ROUND(T3,3)</f>
        <v>0</v>
      </c>
      <c r="U34" s="783"/>
      <c r="V34" s="589">
        <f>U34</f>
        <v>0</v>
      </c>
      <c r="W34" s="756"/>
      <c r="X34" s="730">
        <f>T34+U34-V34</f>
        <v>0</v>
      </c>
      <c r="Y34" s="590"/>
      <c r="Z34" s="588">
        <f>ROUND(Z3,3)</f>
        <v>0</v>
      </c>
      <c r="AA34" s="783"/>
      <c r="AB34" s="589">
        <f>AA34</f>
        <v>0</v>
      </c>
      <c r="AC34" s="756"/>
      <c r="AD34" s="589">
        <f>Z34+AA34-AB34</f>
        <v>0</v>
      </c>
      <c r="AE34" s="590"/>
      <c r="AF34" s="588">
        <f>ROUND(AF3,3)</f>
        <v>0</v>
      </c>
      <c r="AG34" s="783"/>
      <c r="AH34" s="589">
        <f>AG34</f>
        <v>0</v>
      </c>
      <c r="AI34" s="756"/>
      <c r="AJ34" s="589">
        <f>AF34+AG34-AH34</f>
        <v>0</v>
      </c>
      <c r="AK34" s="590"/>
      <c r="AL34" s="588">
        <f>ROUND(AL3,3)</f>
        <v>0</v>
      </c>
      <c r="AM34" s="589">
        <f>ROUND(SUM(AM$3:AM$33),3)</f>
        <v>0</v>
      </c>
      <c r="AN34" s="589">
        <f>ROUND(SUM(AN$3:AN$33),3)</f>
        <v>0</v>
      </c>
      <c r="AO34" s="589">
        <f>ROUND(SUM(AO$3:AO$33),3)</f>
        <v>0</v>
      </c>
      <c r="AP34" s="589">
        <f>IF(A$33&lt;&gt;"",AP$33,IF(A$32&lt;&gt;"",AP$32,IF(A$31&lt;&gt;"",AP$31,IF(A$30&lt;&gt;"",AP$30,AP$29))))</f>
        <v>0</v>
      </c>
      <c r="AR34" s="588">
        <f>ROUND(AR3,3)</f>
        <v>9200</v>
      </c>
      <c r="AS34" s="589">
        <f>ROUND(SUM(AS$3:AS$33),3)</f>
        <v>0</v>
      </c>
      <c r="AT34" s="589">
        <f>ROUND(SUM(AT$3:AT$33),3)</f>
        <v>0</v>
      </c>
      <c r="AU34" s="589">
        <f>ROUND(SUM(AU$3:AU$33),3)</f>
        <v>0</v>
      </c>
      <c r="AV34" s="589">
        <f>IF(G$33&lt;&gt;"",AV$33,IF(G$32&lt;&gt;"",AV$32,IF(G$31&lt;&gt;"",AV$31,IF(G$30&lt;&gt;"",AV$30,AV$29))))</f>
        <v>9200</v>
      </c>
      <c r="AX34" s="588">
        <f>ROUND(AX3,3)</f>
        <v>0</v>
      </c>
      <c r="AY34" s="783"/>
      <c r="AZ34" s="589">
        <f>AY34</f>
        <v>0</v>
      </c>
      <c r="BA34" s="589">
        <f>AX34+AY34-AZ34</f>
        <v>0</v>
      </c>
      <c r="BC34" s="697">
        <f>BC3</f>
        <v>0</v>
      </c>
      <c r="BD34" s="789"/>
      <c r="BE34" s="697">
        <f>BD34</f>
        <v>0</v>
      </c>
      <c r="BF34" s="589">
        <f>BC34+BD34-BE34</f>
        <v>0</v>
      </c>
    </row>
    <row r="35" spans="1:58" ht="16.5" thickTop="1">
      <c r="A35" s="591"/>
      <c r="B35" s="592"/>
      <c r="C35" s="592"/>
      <c r="D35" s="592"/>
      <c r="E35" s="757"/>
      <c r="F35" s="593"/>
      <c r="H35" s="592"/>
      <c r="I35" s="592"/>
      <c r="J35" s="592"/>
      <c r="K35" s="757"/>
      <c r="L35" s="593"/>
      <c r="M35" s="594"/>
      <c r="N35" s="592"/>
      <c r="O35" s="592"/>
      <c r="P35" s="592"/>
      <c r="Q35" s="757"/>
      <c r="R35" s="593"/>
      <c r="S35" s="594"/>
      <c r="T35" s="592"/>
      <c r="U35" s="592"/>
      <c r="V35" s="255"/>
      <c r="W35" s="765"/>
      <c r="X35" s="595"/>
      <c r="Y35" s="594"/>
      <c r="Z35" s="592"/>
      <c r="AA35" s="592"/>
      <c r="AB35" s="592"/>
      <c r="AC35" s="757"/>
      <c r="AD35" s="593"/>
      <c r="AE35" s="594"/>
      <c r="AF35" s="592"/>
      <c r="AG35" s="592"/>
      <c r="AH35" s="592"/>
      <c r="AI35" s="757"/>
      <c r="AJ35" s="593"/>
      <c r="AK35" s="594"/>
      <c r="AL35" s="592"/>
      <c r="AM35" s="592"/>
      <c r="AN35" s="592"/>
      <c r="AO35" s="592"/>
      <c r="AP35" s="593"/>
    </row>
    <row r="36" spans="1:58">
      <c r="A36" s="596"/>
      <c r="B36" s="346" t="s">
        <v>210</v>
      </c>
      <c r="C36" s="351">
        <v>0.87</v>
      </c>
      <c r="D36" s="536">
        <f>C37*C36*1000</f>
        <v>28363.739999999998</v>
      </c>
      <c r="E36" s="758"/>
      <c r="F36" s="255" t="s">
        <v>183</v>
      </c>
      <c r="G36" s="596"/>
      <c r="H36" s="596"/>
      <c r="T36" s="346" t="s">
        <v>215</v>
      </c>
      <c r="U36" s="351">
        <v>1.165</v>
      </c>
    </row>
    <row r="37" spans="1:58">
      <c r="A37" s="596"/>
      <c r="B37" s="348" t="s">
        <v>211</v>
      </c>
      <c r="C37" s="350">
        <v>32.601999999999997</v>
      </c>
      <c r="D37" s="349" t="s">
        <v>103</v>
      </c>
      <c r="E37" s="759"/>
      <c r="F37" s="255"/>
      <c r="G37" s="596"/>
      <c r="H37" s="597"/>
      <c r="I37" s="598"/>
      <c r="J37" s="598"/>
      <c r="K37" s="763"/>
      <c r="L37" s="598"/>
      <c r="M37" s="594"/>
      <c r="N37" s="346" t="s">
        <v>215</v>
      </c>
      <c r="O37" s="351">
        <v>1.1850000000000001</v>
      </c>
      <c r="P37" s="594"/>
      <c r="Q37" s="764"/>
      <c r="R37" s="599"/>
      <c r="T37" s="348" t="s">
        <v>212</v>
      </c>
      <c r="U37" s="352">
        <v>1.2359285714285717</v>
      </c>
      <c r="V37" s="349" t="s">
        <v>216</v>
      </c>
      <c r="W37" s="759"/>
      <c r="X37" s="255">
        <f>1165*(22/7*0.55^2*1.2)</f>
        <v>1329.0985714285716</v>
      </c>
      <c r="Y37" s="256" t="s">
        <v>183</v>
      </c>
      <c r="Z37" s="597"/>
      <c r="AA37" s="598" t="s">
        <v>402</v>
      </c>
      <c r="AB37" s="351">
        <v>1.1100000000000001</v>
      </c>
      <c r="AC37" s="769"/>
      <c r="AD37" s="594"/>
      <c r="AF37" s="597"/>
      <c r="AG37" s="598" t="s">
        <v>402</v>
      </c>
      <c r="AH37" s="351">
        <v>1.3260000000000001</v>
      </c>
      <c r="AI37" s="769"/>
      <c r="AJ37" s="600"/>
      <c r="AK37" s="1892" t="s">
        <v>181</v>
      </c>
      <c r="AL37" s="1893"/>
      <c r="AM37" s="1893"/>
      <c r="AN37" s="601">
        <f>AP34/25</f>
        <v>0</v>
      </c>
      <c r="AO37" s="601"/>
      <c r="AP37" s="594" t="s">
        <v>182</v>
      </c>
    </row>
    <row r="38" spans="1:58">
      <c r="A38" s="596"/>
      <c r="B38" s="596"/>
      <c r="C38" s="596"/>
      <c r="D38" s="596"/>
      <c r="E38" s="760"/>
      <c r="F38" s="596"/>
      <c r="H38" s="346" t="s">
        <v>213</v>
      </c>
      <c r="I38" s="351">
        <v>1.52</v>
      </c>
      <c r="J38" s="594"/>
      <c r="K38" s="764"/>
      <c r="L38" s="601"/>
      <c r="M38" s="594"/>
      <c r="O38" s="348" t="s">
        <v>212</v>
      </c>
      <c r="P38" s="350">
        <v>1</v>
      </c>
      <c r="Q38" s="767"/>
      <c r="R38" s="349" t="s">
        <v>216</v>
      </c>
      <c r="T38" s="594"/>
      <c r="U38" s="602"/>
      <c r="V38" s="594"/>
      <c r="W38" s="764"/>
      <c r="X38" s="603"/>
      <c r="Z38" s="594" t="s">
        <v>179</v>
      </c>
      <c r="AA38" s="604">
        <f>1110*(22/7*0.55^2*2.19)</f>
        <v>2311.0913571428573</v>
      </c>
      <c r="AB38" s="594" t="s">
        <v>180</v>
      </c>
      <c r="AC38" s="764"/>
      <c r="AD38" s="602"/>
      <c r="AF38" s="594" t="s">
        <v>179</v>
      </c>
      <c r="AG38" s="605">
        <f>1.326*(22/7*0.55^2*1.2)*1000</f>
        <v>1512.7765714285717</v>
      </c>
      <c r="AH38" s="594" t="s">
        <v>180</v>
      </c>
      <c r="AI38" s="764"/>
      <c r="AJ38" s="594"/>
      <c r="AK38" s="594"/>
    </row>
    <row r="39" spans="1:58">
      <c r="A39" s="596"/>
      <c r="B39" s="596"/>
      <c r="C39" s="596"/>
      <c r="G39" s="348" t="s">
        <v>212</v>
      </c>
      <c r="H39" s="350">
        <f>14.14+1.856</f>
        <v>15.996</v>
      </c>
      <c r="I39" s="349" t="s">
        <v>214</v>
      </c>
      <c r="J39" s="255"/>
      <c r="K39" s="765"/>
      <c r="L39" s="347">
        <f>H39*I38*1000</f>
        <v>24313.919999999998</v>
      </c>
      <c r="M39" s="255" t="s">
        <v>183</v>
      </c>
      <c r="O39" s="606"/>
      <c r="P39" s="594"/>
      <c r="Q39" s="764"/>
      <c r="R39" s="255">
        <f>O37*1000*P38</f>
        <v>1185</v>
      </c>
      <c r="S39" s="256" t="s">
        <v>183</v>
      </c>
      <c r="T39" s="594"/>
      <c r="U39" s="606"/>
      <c r="V39" s="594"/>
      <c r="W39" s="764"/>
      <c r="X39" s="603"/>
      <c r="Z39" s="607" t="s">
        <v>403</v>
      </c>
      <c r="AA39" s="352">
        <v>2.19</v>
      </c>
      <c r="AB39" s="594" t="s">
        <v>103</v>
      </c>
      <c r="AC39" s="764"/>
      <c r="AD39" s="602"/>
      <c r="AF39" s="607" t="s">
        <v>403</v>
      </c>
      <c r="AG39" s="352">
        <v>1.24</v>
      </c>
      <c r="AH39" s="594" t="s">
        <v>103</v>
      </c>
      <c r="AI39" s="764"/>
      <c r="AJ39" s="594"/>
      <c r="AK39" s="594"/>
    </row>
    <row r="40" spans="1:58">
      <c r="H40" s="594"/>
      <c r="I40" s="608"/>
      <c r="J40" s="594"/>
      <c r="K40" s="764"/>
      <c r="T40" s="594"/>
      <c r="U40" s="608"/>
      <c r="V40" s="594"/>
      <c r="W40" s="764"/>
      <c r="X40" s="603"/>
      <c r="Z40" s="594"/>
      <c r="AA40" s="608"/>
      <c r="AB40" s="594"/>
      <c r="AC40" s="764"/>
      <c r="AD40" s="609"/>
      <c r="AF40" s="594"/>
      <c r="AG40" s="608"/>
      <c r="AH40" s="594"/>
      <c r="AI40" s="764"/>
      <c r="AJ40" s="609"/>
      <c r="AK40" s="610"/>
    </row>
  </sheetData>
  <mergeCells count="11">
    <mergeCell ref="AF1:AJ1"/>
    <mergeCell ref="A1:F1"/>
    <mergeCell ref="H1:L1"/>
    <mergeCell ref="N1:R1"/>
    <mergeCell ref="T1:X1"/>
    <mergeCell ref="Z1:AD1"/>
    <mergeCell ref="BC1:BF1"/>
    <mergeCell ref="AX1:BA1"/>
    <mergeCell ref="AR1:AV1"/>
    <mergeCell ref="AL1:AP1"/>
    <mergeCell ref="AK37:AM37"/>
  </mergeCells>
  <pageMargins left="0.70866141732283472" right="0.70866141732283472" top="0.74803149606299213" bottom="0.74803149606299213" header="0.31496062992125984" footer="0.31496062992125984"/>
  <pageSetup paperSize="9" scale="93" fitToWidth="3" orientation="landscape" r:id="rId1"/>
  <colBreaks count="2" manualBreakCount="2">
    <brk id="25" max="1048575" man="1"/>
    <brk id="37" max="1048575" man="1"/>
  </colBreaks>
  <customProperties>
    <customPr name="EpmWorksheetKeyString_GUID" r:id="rId2"/>
  </customProperties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FF00"/>
  </sheetPr>
  <dimension ref="B2:F37"/>
  <sheetViews>
    <sheetView zoomScaleNormal="100" workbookViewId="0">
      <selection activeCell="F11" sqref="F11"/>
    </sheetView>
  </sheetViews>
  <sheetFormatPr defaultRowHeight="15"/>
  <cols>
    <col min="3" max="3" width="10.140625" customWidth="1"/>
    <col min="5" max="5" width="10.5703125" customWidth="1"/>
  </cols>
  <sheetData>
    <row r="2" spans="2:6">
      <c r="B2" s="1896" t="s">
        <v>168</v>
      </c>
      <c r="C2" s="1899" t="s">
        <v>169</v>
      </c>
      <c r="D2" s="1900"/>
      <c r="E2" s="1900"/>
      <c r="F2" s="1901"/>
    </row>
    <row r="3" spans="2:6">
      <c r="B3" s="1897"/>
      <c r="C3" s="238" t="s">
        <v>170</v>
      </c>
      <c r="D3" s="238" t="s">
        <v>171</v>
      </c>
      <c r="E3" s="238" t="s">
        <v>34</v>
      </c>
      <c r="F3" s="238" t="s">
        <v>365</v>
      </c>
    </row>
    <row r="4" spans="2:6">
      <c r="B4" s="1897"/>
      <c r="C4" s="239" t="s">
        <v>172</v>
      </c>
      <c r="D4" s="240" t="s">
        <v>173</v>
      </c>
      <c r="E4" s="240" t="s">
        <v>173</v>
      </c>
      <c r="F4" s="240" t="s">
        <v>104</v>
      </c>
    </row>
    <row r="5" spans="2:6">
      <c r="B5" s="1898"/>
      <c r="C5" s="241"/>
      <c r="D5" s="241"/>
      <c r="E5" s="242"/>
      <c r="F5" s="243"/>
    </row>
    <row r="6" spans="2:6">
      <c r="B6" s="244">
        <f>'Raw Material'!A5</f>
        <v>43800</v>
      </c>
      <c r="C6" s="245"/>
      <c r="D6" s="247"/>
      <c r="E6" s="247"/>
      <c r="F6" s="246">
        <f>'%Load daily'!D3</f>
        <v>103.61180412356694</v>
      </c>
    </row>
    <row r="7" spans="2:6">
      <c r="B7" s="248">
        <f t="shared" ref="B7:B35" si="0">B6+1</f>
        <v>43801</v>
      </c>
      <c r="C7" s="245"/>
      <c r="D7" s="249"/>
      <c r="E7" s="249"/>
      <c r="F7" s="246">
        <f>'%Load daily'!D4</f>
        <v>103.61392592492923</v>
      </c>
    </row>
    <row r="8" spans="2:6">
      <c r="B8" s="248">
        <f t="shared" si="0"/>
        <v>43802</v>
      </c>
      <c r="C8" s="245"/>
      <c r="D8" s="249"/>
      <c r="E8" s="249"/>
      <c r="F8" s="246">
        <f>'%Load daily'!D5</f>
        <v>99.005373366025495</v>
      </c>
    </row>
    <row r="9" spans="2:6">
      <c r="B9" s="248">
        <f t="shared" si="0"/>
        <v>43803</v>
      </c>
      <c r="C9" s="250"/>
      <c r="D9" s="249"/>
      <c r="E9" s="249"/>
      <c r="F9" s="246">
        <f>'%Load daily'!D6</f>
        <v>103.1195462075146</v>
      </c>
    </row>
    <row r="10" spans="2:6">
      <c r="B10" s="248">
        <f t="shared" si="0"/>
        <v>43804</v>
      </c>
      <c r="C10" s="251"/>
      <c r="D10" s="249"/>
      <c r="E10" s="249"/>
      <c r="F10" s="246">
        <f>'%Load daily'!D7</f>
        <v>106.17494016921874</v>
      </c>
    </row>
    <row r="11" spans="2:6">
      <c r="B11" s="248">
        <f t="shared" si="0"/>
        <v>43805</v>
      </c>
      <c r="C11" s="251"/>
      <c r="D11" s="249"/>
      <c r="E11" s="249"/>
      <c r="F11" s="246">
        <f>'%Load daily'!D8</f>
        <v>104.64724318836666</v>
      </c>
    </row>
    <row r="12" spans="2:6">
      <c r="B12" s="248">
        <f t="shared" si="0"/>
        <v>43806</v>
      </c>
      <c r="C12" s="252"/>
      <c r="D12" s="249"/>
      <c r="E12" s="249"/>
      <c r="F12" s="246">
        <f>'%Load daily'!D9</f>
        <v>105.41109167879272</v>
      </c>
    </row>
    <row r="13" spans="2:6">
      <c r="B13" s="248">
        <f t="shared" si="0"/>
        <v>43807</v>
      </c>
      <c r="C13" s="253"/>
      <c r="D13" s="249"/>
      <c r="E13" s="249"/>
      <c r="F13" s="246">
        <f>'%Load daily'!D10</f>
        <v>105.41109167879272</v>
      </c>
    </row>
    <row r="14" spans="2:6">
      <c r="B14" s="248">
        <f t="shared" si="0"/>
        <v>43808</v>
      </c>
      <c r="C14" s="253"/>
      <c r="D14" s="249"/>
      <c r="E14" s="249"/>
      <c r="F14" s="246">
        <f>'%Load daily'!D11</f>
        <v>103.88339469794064</v>
      </c>
    </row>
    <row r="15" spans="2:6">
      <c r="B15" s="248">
        <f t="shared" si="0"/>
        <v>43809</v>
      </c>
      <c r="C15" s="253"/>
      <c r="D15" s="249"/>
      <c r="E15" s="249"/>
      <c r="F15" s="246">
        <f>'%Load daily'!D12</f>
        <v>105.41109167879272</v>
      </c>
    </row>
    <row r="16" spans="2:6">
      <c r="B16" s="248">
        <f t="shared" si="0"/>
        <v>43810</v>
      </c>
      <c r="C16" s="253"/>
      <c r="D16" s="249"/>
      <c r="E16" s="249"/>
      <c r="F16" s="246">
        <f>'%Load daily'!D13</f>
        <v>105.41109167879272</v>
      </c>
    </row>
    <row r="17" spans="2:6">
      <c r="B17" s="248">
        <f t="shared" si="0"/>
        <v>43811</v>
      </c>
      <c r="C17" s="253"/>
      <c r="D17" s="249"/>
      <c r="E17" s="249"/>
      <c r="F17" s="246">
        <f>'%Load daily'!D14</f>
        <v>95.481061303254265</v>
      </c>
    </row>
    <row r="18" spans="2:6">
      <c r="B18" s="248">
        <f t="shared" si="0"/>
        <v>43812</v>
      </c>
      <c r="C18" s="253"/>
      <c r="D18" s="249"/>
      <c r="E18" s="249"/>
      <c r="F18" s="246">
        <f>'%Load daily'!D15</f>
        <v>95.481061303254265</v>
      </c>
    </row>
    <row r="19" spans="2:6">
      <c r="B19" s="248">
        <f t="shared" si="0"/>
        <v>43813</v>
      </c>
      <c r="C19" s="253"/>
      <c r="D19" s="249"/>
      <c r="E19" s="249"/>
      <c r="F19" s="246">
        <f>'%Load daily'!D16</f>
        <v>78.665785507070041</v>
      </c>
    </row>
    <row r="20" spans="2:6">
      <c r="B20" s="248">
        <f t="shared" si="0"/>
        <v>43814</v>
      </c>
      <c r="C20" s="253"/>
      <c r="D20" s="249"/>
      <c r="E20" s="249"/>
      <c r="F20" s="246">
        <f>'%Load daily'!D17</f>
        <v>0</v>
      </c>
    </row>
    <row r="21" spans="2:6">
      <c r="B21" s="248">
        <f t="shared" si="0"/>
        <v>43815</v>
      </c>
      <c r="C21" s="253"/>
      <c r="D21" s="249"/>
      <c r="E21" s="249"/>
      <c r="F21" s="246">
        <f>'%Load daily'!D18</f>
        <v>66.45481866706497</v>
      </c>
    </row>
    <row r="22" spans="2:6">
      <c r="B22" s="248">
        <f t="shared" si="0"/>
        <v>43816</v>
      </c>
      <c r="C22" s="253"/>
      <c r="D22" s="249"/>
      <c r="E22" s="249"/>
      <c r="F22" s="246">
        <f>'%Load daily'!D19</f>
        <v>83.259485456437716</v>
      </c>
    </row>
    <row r="23" spans="2:6">
      <c r="B23" s="248">
        <f t="shared" si="0"/>
        <v>43817</v>
      </c>
      <c r="C23" s="253"/>
      <c r="D23" s="249"/>
      <c r="E23" s="249"/>
      <c r="F23" s="246">
        <f>'%Load daily'!D20</f>
        <v>82.696929252553545</v>
      </c>
    </row>
    <row r="24" spans="2:6">
      <c r="B24" s="248">
        <f t="shared" si="0"/>
        <v>43818</v>
      </c>
      <c r="C24" s="253"/>
      <c r="D24" s="249"/>
      <c r="E24" s="249"/>
      <c r="F24" s="246">
        <f>'%Load daily'!D21</f>
        <v>98.472801224089579</v>
      </c>
    </row>
    <row r="25" spans="2:6">
      <c r="B25" s="248">
        <f t="shared" si="0"/>
        <v>43819</v>
      </c>
      <c r="C25" s="253"/>
      <c r="D25" s="249"/>
      <c r="E25" s="249"/>
      <c r="F25" s="246">
        <f>'%Load daily'!D22</f>
        <v>98.4961410390748</v>
      </c>
    </row>
    <row r="26" spans="2:6">
      <c r="B26" s="248">
        <f t="shared" si="0"/>
        <v>43820</v>
      </c>
      <c r="C26" s="253"/>
      <c r="D26" s="249"/>
      <c r="E26" s="249"/>
      <c r="F26" s="246">
        <f>'%Load daily'!D23</f>
        <v>103.1195462075146</v>
      </c>
    </row>
    <row r="27" spans="2:6">
      <c r="B27" s="248">
        <f t="shared" si="0"/>
        <v>43821</v>
      </c>
      <c r="C27" s="253"/>
      <c r="D27" s="249"/>
      <c r="E27" s="249"/>
      <c r="F27" s="246">
        <f>'%Load daily'!D24</f>
        <v>100.06415224581048</v>
      </c>
    </row>
    <row r="28" spans="2:6">
      <c r="B28" s="248">
        <f t="shared" si="0"/>
        <v>43822</v>
      </c>
      <c r="C28" s="253"/>
      <c r="D28" s="249"/>
      <c r="E28" s="249"/>
      <c r="F28" s="246">
        <f>'%Load daily'!D25</f>
        <v>90.134121870272025</v>
      </c>
    </row>
    <row r="29" spans="2:6">
      <c r="B29" s="248">
        <f t="shared" si="0"/>
        <v>43823</v>
      </c>
      <c r="C29" s="253"/>
      <c r="D29" s="249"/>
      <c r="E29" s="249"/>
      <c r="F29" s="246">
        <f>'%Load daily'!D26</f>
        <v>0</v>
      </c>
    </row>
    <row r="30" spans="2:6">
      <c r="B30" s="248">
        <f t="shared" si="0"/>
        <v>43824</v>
      </c>
      <c r="C30" s="253"/>
      <c r="D30" s="249"/>
      <c r="E30" s="249"/>
      <c r="F30" s="246">
        <f>'%Load daily'!D27</f>
        <v>31.848238448041034</v>
      </c>
    </row>
    <row r="31" spans="2:6">
      <c r="B31" s="248">
        <f t="shared" si="0"/>
        <v>43825</v>
      </c>
      <c r="C31" s="253"/>
      <c r="D31" s="249"/>
      <c r="E31" s="249"/>
      <c r="F31" s="246">
        <f>'%Load daily'!D28</f>
        <v>90.622136183599778</v>
      </c>
    </row>
    <row r="32" spans="2:6">
      <c r="B32" s="248">
        <f t="shared" si="0"/>
        <v>43826</v>
      </c>
      <c r="C32" s="253"/>
      <c r="D32" s="249"/>
      <c r="E32" s="249"/>
      <c r="F32" s="246">
        <f>'%Load daily'!D29</f>
        <v>95.502279316877221</v>
      </c>
    </row>
    <row r="33" spans="2:6">
      <c r="B33" s="248">
        <f t="shared" si="0"/>
        <v>43827</v>
      </c>
      <c r="C33" s="253"/>
      <c r="D33" s="249"/>
      <c r="E33" s="249"/>
      <c r="F33" s="246">
        <f>'%Load daily'!D30</f>
        <v>96.817796161499828</v>
      </c>
    </row>
    <row r="34" spans="2:6">
      <c r="B34" s="248">
        <f t="shared" si="0"/>
        <v>43828</v>
      </c>
      <c r="C34" s="253"/>
      <c r="D34" s="249"/>
      <c r="E34" s="249"/>
      <c r="F34" s="246">
        <f>'%Load daily'!D31</f>
        <v>97.736536151373357</v>
      </c>
    </row>
    <row r="35" spans="2:6">
      <c r="B35" s="248">
        <f t="shared" si="0"/>
        <v>43829</v>
      </c>
      <c r="C35" s="253"/>
      <c r="D35" s="249"/>
      <c r="E35" s="249"/>
      <c r="F35" s="246">
        <f>'%Load daily'!D32</f>
        <v>100.08324845807113</v>
      </c>
    </row>
    <row r="36" spans="2:6" s="295" customFormat="1">
      <c r="B36" s="248"/>
      <c r="C36" s="555"/>
      <c r="D36" s="249"/>
      <c r="E36" s="249"/>
      <c r="F36" s="246">
        <f>'%Load daily'!D33</f>
        <v>56.711506811408441</v>
      </c>
    </row>
    <row r="37" spans="2:6">
      <c r="B37" s="254" t="s">
        <v>106</v>
      </c>
      <c r="C37" s="286">
        <f>IF(DAY($B$36)=31,SUM(C6:C36),IF(DAY($B$36)=1,SUM(C6:C35),IF(DAY($B$36)=2,SUM(C6:C34),SUM(C6:C33))))</f>
        <v>0</v>
      </c>
      <c r="D37" s="286">
        <f t="shared" ref="D37:E37" si="1">IF(DAY($B$36)=31,SUM(D6:D36),IF(DAY($B$36)=1,SUM(D6:D35),IF(DAY($B$36)=2,SUM(D6:D34),SUM(D6:D33))))</f>
        <v>0</v>
      </c>
      <c r="E37" s="286">
        <f t="shared" si="1"/>
        <v>0</v>
      </c>
      <c r="F37" s="286">
        <f>IF(DAY($B$36)=31,AVERAGE(F6:F36),IF(DAY($B$36)=1,AVERAGE(F6:F35),IF(DAY($B$36)=2,AVERAGE(F6:F34),AVERAGE(F6:F33))))</f>
        <v>87.600605306398123</v>
      </c>
    </row>
  </sheetData>
  <mergeCells count="2">
    <mergeCell ref="B2:B5"/>
    <mergeCell ref="C2:F2"/>
  </mergeCells>
  <pageMargins left="0.7" right="0.7" top="0.75" bottom="0.75" header="0.3" footer="0.3"/>
  <customProperties>
    <customPr name="EpmWorksheetKeyString_GUID" r:id="rId1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F11"/>
  <sheetViews>
    <sheetView workbookViewId="0">
      <selection activeCell="B25" sqref="B25"/>
    </sheetView>
  </sheetViews>
  <sheetFormatPr defaultRowHeight="15"/>
  <cols>
    <col min="3" max="3" width="15.85546875" customWidth="1"/>
    <col min="4" max="4" width="13.42578125" customWidth="1"/>
    <col min="5" max="5" width="15" customWidth="1"/>
    <col min="6" max="6" width="23.28515625" bestFit="1" customWidth="1"/>
  </cols>
  <sheetData>
    <row r="1" spans="1:6" ht="18.75">
      <c r="A1" s="6" t="s">
        <v>406</v>
      </c>
      <c r="B1" s="6"/>
    </row>
    <row r="2" spans="1:6" ht="15.75" customHeight="1">
      <c r="A2" s="1905" t="s">
        <v>290</v>
      </c>
      <c r="B2" s="1905" t="s">
        <v>291</v>
      </c>
      <c r="C2" s="1702" t="s">
        <v>463</v>
      </c>
      <c r="D2" s="1705" t="s">
        <v>464</v>
      </c>
      <c r="E2" s="1708" t="s">
        <v>465</v>
      </c>
      <c r="F2" s="1902" t="s">
        <v>419</v>
      </c>
    </row>
    <row r="3" spans="1:6" ht="15.75" customHeight="1">
      <c r="A3" s="1699"/>
      <c r="B3" s="1699"/>
      <c r="C3" s="1703"/>
      <c r="D3" s="1706"/>
      <c r="E3" s="1709"/>
      <c r="F3" s="1903"/>
    </row>
    <row r="4" spans="1:6" ht="15.75" customHeight="1">
      <c r="A4" s="1700"/>
      <c r="B4" s="1700"/>
      <c r="C4" s="1704"/>
      <c r="D4" s="1707"/>
      <c r="E4" s="1710"/>
      <c r="F4" s="1904"/>
    </row>
    <row r="5" spans="1:6" ht="15.75">
      <c r="A5" s="308" t="s">
        <v>32</v>
      </c>
      <c r="B5" s="43" t="s">
        <v>9</v>
      </c>
      <c r="C5" s="925">
        <f>'Monthly Report '!F78</f>
        <v>39062.889999999665</v>
      </c>
      <c r="D5" s="925">
        <f>'Monthly Report '!G78</f>
        <v>0</v>
      </c>
      <c r="E5" s="925">
        <f>'Monthly Report '!H78</f>
        <v>0</v>
      </c>
      <c r="F5" s="925">
        <f>'Monthly Report '!I78</f>
        <v>39062.889999999665</v>
      </c>
    </row>
    <row r="6" spans="1:6" ht="15.75">
      <c r="A6" s="308" t="s">
        <v>33</v>
      </c>
      <c r="B6" s="43" t="s">
        <v>9</v>
      </c>
      <c r="C6" s="925">
        <f>'Monthly Report '!F79</f>
        <v>44.270000000000437</v>
      </c>
      <c r="D6" s="925">
        <f>'Monthly Report '!G79</f>
        <v>0</v>
      </c>
      <c r="E6" s="925">
        <f>'Monthly Report '!H79</f>
        <v>0</v>
      </c>
      <c r="F6" s="925">
        <f>'Monthly Report '!I79</f>
        <v>44.270000000000437</v>
      </c>
    </row>
    <row r="7" spans="1:6" ht="15.75">
      <c r="A7" s="308" t="s">
        <v>34</v>
      </c>
      <c r="B7" s="43" t="s">
        <v>9</v>
      </c>
      <c r="C7" s="925">
        <f>'Monthly Report '!F80</f>
        <v>754.27999999999884</v>
      </c>
      <c r="D7" s="925">
        <f>'Monthly Report '!G80</f>
        <v>0</v>
      </c>
      <c r="E7" s="925">
        <f>'Monthly Report '!H80</f>
        <v>0</v>
      </c>
      <c r="F7" s="925">
        <f>'Monthly Report '!I80</f>
        <v>754.27999999999884</v>
      </c>
    </row>
    <row r="8" spans="1:6" ht="15.75">
      <c r="A8" s="308" t="s">
        <v>36</v>
      </c>
      <c r="B8" s="311" t="s">
        <v>9</v>
      </c>
      <c r="C8" s="925" t="e">
        <f>'Monthly Report '!#REF!</f>
        <v>#REF!</v>
      </c>
      <c r="D8" s="925" t="e">
        <f>'Monthly Report '!#REF!</f>
        <v>#REF!</v>
      </c>
      <c r="E8" s="925" t="e">
        <f>'Monthly Report '!#REF!</f>
        <v>#REF!</v>
      </c>
      <c r="F8" s="925" t="e">
        <f>'Monthly Report '!#REF!</f>
        <v>#REF!</v>
      </c>
    </row>
    <row r="9" spans="1:6" ht="15.75">
      <c r="A9" s="308" t="s">
        <v>35</v>
      </c>
      <c r="B9" s="43" t="s">
        <v>9</v>
      </c>
      <c r="C9" s="925">
        <f>'Monthly Report '!F81</f>
        <v>81044</v>
      </c>
      <c r="D9" s="925">
        <f>'Monthly Report '!G81</f>
        <v>0</v>
      </c>
      <c r="E9" s="925">
        <f>'Monthly Report '!H81</f>
        <v>-44316</v>
      </c>
      <c r="F9" s="925">
        <f>'Monthly Report '!I81</f>
        <v>36728</v>
      </c>
    </row>
    <row r="10" spans="1:6" ht="15.75">
      <c r="A10" s="308" t="s">
        <v>37</v>
      </c>
      <c r="B10" s="312" t="s">
        <v>38</v>
      </c>
      <c r="C10" s="925">
        <f>'Monthly Report '!F82</f>
        <v>620071</v>
      </c>
      <c r="D10" s="925">
        <f>'Monthly Report '!G82</f>
        <v>0</v>
      </c>
      <c r="E10" s="925">
        <f>'Monthly Report '!H82</f>
        <v>-21537</v>
      </c>
      <c r="F10" s="925">
        <f>'Monthly Report '!I82</f>
        <v>598534</v>
      </c>
    </row>
    <row r="11" spans="1:6" ht="15.75">
      <c r="A11" s="308" t="s">
        <v>39</v>
      </c>
      <c r="B11" s="311" t="s">
        <v>409</v>
      </c>
      <c r="C11" s="925">
        <f>'Monthly Report '!F83</f>
        <v>4437580</v>
      </c>
      <c r="D11" s="925">
        <f>'Monthly Report '!G83</f>
        <v>0</v>
      </c>
      <c r="E11" s="925">
        <f>'Monthly Report '!H83</f>
        <v>-30653</v>
      </c>
      <c r="F11" s="925">
        <f>'Monthly Report '!I83</f>
        <v>4406927</v>
      </c>
    </row>
  </sheetData>
  <mergeCells count="6">
    <mergeCell ref="F2:F4"/>
    <mergeCell ref="A2:A4"/>
    <mergeCell ref="B2:B4"/>
    <mergeCell ref="C2:C4"/>
    <mergeCell ref="D2:D4"/>
    <mergeCell ref="E2:E4"/>
  </mergeCells>
  <pageMargins left="0.7" right="0.7" top="0.75" bottom="0.75" header="0.3" footer="0.3"/>
  <customProperties>
    <customPr name="EpmWorksheetKeyString_GUID" r:id="rId1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00B050"/>
  </sheetPr>
  <dimension ref="A1:W15"/>
  <sheetViews>
    <sheetView zoomScaleNormal="100" workbookViewId="0">
      <selection activeCell="M48" sqref="M48"/>
    </sheetView>
  </sheetViews>
  <sheetFormatPr defaultRowHeight="15"/>
  <cols>
    <col min="1" max="1" width="1.85546875" customWidth="1"/>
    <col min="2" max="2" width="4.85546875" customWidth="1"/>
    <col min="3" max="3" width="6.5703125" customWidth="1"/>
    <col min="4" max="4" width="5.140625" customWidth="1"/>
    <col min="6" max="6" width="15.28515625" customWidth="1"/>
    <col min="7" max="12" width="13.140625" customWidth="1"/>
    <col min="13" max="14" width="15.85546875" customWidth="1"/>
    <col min="15" max="15" width="13" customWidth="1"/>
    <col min="16" max="16" width="16" customWidth="1"/>
    <col min="18" max="18" width="10.7109375" bestFit="1" customWidth="1"/>
    <col min="19" max="19" width="18.140625" customWidth="1"/>
    <col min="20" max="20" width="12.5703125" bestFit="1" customWidth="1"/>
  </cols>
  <sheetData>
    <row r="1" spans="1:23" ht="18">
      <c r="A1" s="1030" t="s">
        <v>475</v>
      </c>
      <c r="B1" s="1031"/>
      <c r="C1" s="1031"/>
      <c r="D1" s="1031"/>
      <c r="E1" s="1031"/>
      <c r="F1" s="1032"/>
      <c r="W1" s="948"/>
    </row>
    <row r="2" spans="1:23" ht="18.75">
      <c r="A2" s="1033" t="s">
        <v>504</v>
      </c>
      <c r="B2" s="1034"/>
      <c r="C2" s="1034"/>
      <c r="D2" s="1034"/>
      <c r="E2" s="1911">
        <f>'Monthly Report '!H4</f>
        <v>43800</v>
      </c>
      <c r="F2" s="1912"/>
      <c r="K2" s="949"/>
      <c r="L2" s="950" t="s">
        <v>476</v>
      </c>
      <c r="M2" s="950"/>
      <c r="W2" s="948"/>
    </row>
    <row r="3" spans="1:23">
      <c r="U3" s="948"/>
    </row>
    <row r="4" spans="1:23">
      <c r="A4" s="951"/>
      <c r="B4" s="952"/>
      <c r="C4" s="952"/>
      <c r="D4" s="953"/>
      <c r="E4" s="954"/>
      <c r="F4" s="955" t="s">
        <v>463</v>
      </c>
      <c r="G4" s="1906" t="s">
        <v>477</v>
      </c>
      <c r="H4" s="1907"/>
      <c r="I4" s="1907"/>
      <c r="J4" s="1907"/>
      <c r="K4" s="1907"/>
      <c r="L4" s="1908"/>
      <c r="M4" s="956" t="s">
        <v>478</v>
      </c>
      <c r="N4" s="1907" t="s">
        <v>479</v>
      </c>
      <c r="O4" s="1907"/>
      <c r="P4" s="1907"/>
      <c r="Q4" s="1907"/>
      <c r="R4" s="1908"/>
      <c r="S4" s="956" t="s">
        <v>478</v>
      </c>
      <c r="U4" s="948"/>
    </row>
    <row r="5" spans="1:23">
      <c r="A5" s="957"/>
      <c r="B5" s="958"/>
      <c r="C5" s="958"/>
      <c r="D5" s="959"/>
      <c r="E5" s="960"/>
      <c r="F5" s="961"/>
      <c r="G5" s="1909" t="s">
        <v>480</v>
      </c>
      <c r="H5" s="1910"/>
      <c r="I5" s="1910"/>
      <c r="J5" s="1909" t="s">
        <v>481</v>
      </c>
      <c r="K5" s="1910"/>
      <c r="L5" s="1910"/>
      <c r="M5" s="962" t="s">
        <v>482</v>
      </c>
      <c r="N5" s="954" t="s">
        <v>483</v>
      </c>
      <c r="O5" s="954" t="s">
        <v>484</v>
      </c>
      <c r="P5" s="954" t="s">
        <v>485</v>
      </c>
      <c r="Q5" s="953" t="s">
        <v>486</v>
      </c>
      <c r="R5" s="954" t="s">
        <v>487</v>
      </c>
      <c r="S5" s="962" t="s">
        <v>488</v>
      </c>
      <c r="U5" s="948"/>
    </row>
    <row r="6" spans="1:23" ht="15.75" thickBot="1">
      <c r="A6" s="963"/>
      <c r="B6" s="964"/>
      <c r="C6" s="964"/>
      <c r="D6" s="965"/>
      <c r="E6" s="966"/>
      <c r="F6" s="967"/>
      <c r="G6" s="968" t="s">
        <v>489</v>
      </c>
      <c r="H6" s="969" t="s">
        <v>490</v>
      </c>
      <c r="I6" s="970" t="s">
        <v>126</v>
      </c>
      <c r="J6" s="963" t="s">
        <v>489</v>
      </c>
      <c r="K6" s="971" t="s">
        <v>490</v>
      </c>
      <c r="L6" s="965" t="s">
        <v>126</v>
      </c>
      <c r="M6" s="972"/>
      <c r="N6" s="966" t="s">
        <v>491</v>
      </c>
      <c r="O6" s="966" t="s">
        <v>491</v>
      </c>
      <c r="P6" s="966" t="s">
        <v>491</v>
      </c>
      <c r="Q6" s="966" t="s">
        <v>491</v>
      </c>
      <c r="R6" s="966" t="s">
        <v>491</v>
      </c>
      <c r="S6" s="972"/>
      <c r="U6" s="948"/>
    </row>
    <row r="7" spans="1:23" ht="15.75" thickTop="1">
      <c r="A7" s="973" t="s">
        <v>496</v>
      </c>
      <c r="B7" s="974"/>
      <c r="C7" s="998"/>
      <c r="D7" s="998"/>
      <c r="E7" s="975"/>
      <c r="F7" s="976"/>
      <c r="G7" s="1000"/>
      <c r="H7" s="999"/>
      <c r="I7" s="1001"/>
      <c r="J7" s="1000"/>
      <c r="K7" s="999"/>
      <c r="L7" s="1002"/>
      <c r="M7" s="999">
        <f t="shared" ref="M7:M14" si="0">F7-SUM(G7:I7)+SUM(J7:L7)</f>
        <v>0</v>
      </c>
      <c r="N7" s="1002"/>
      <c r="O7" s="1000"/>
      <c r="P7" s="999"/>
      <c r="Q7" s="1002"/>
      <c r="R7" s="1002"/>
      <c r="S7" s="999"/>
      <c r="T7" s="987"/>
      <c r="U7" s="988"/>
    </row>
    <row r="8" spans="1:23">
      <c r="A8" s="977"/>
      <c r="B8" s="978" t="s">
        <v>497</v>
      </c>
      <c r="C8" s="978"/>
      <c r="D8" s="979"/>
      <c r="E8" s="980" t="s">
        <v>105</v>
      </c>
      <c r="F8" s="981">
        <v>39.22</v>
      </c>
      <c r="G8" s="986">
        <v>0</v>
      </c>
      <c r="H8" s="983"/>
      <c r="I8" s="982"/>
      <c r="J8" s="981">
        <v>0</v>
      </c>
      <c r="K8" s="1003"/>
      <c r="L8" s="982"/>
      <c r="M8" s="984">
        <f t="shared" si="0"/>
        <v>39.22</v>
      </c>
      <c r="N8" s="985">
        <v>39.22</v>
      </c>
      <c r="O8" s="986">
        <v>0</v>
      </c>
      <c r="P8" s="983">
        <v>0</v>
      </c>
      <c r="Q8" s="982"/>
      <c r="R8" s="1004"/>
      <c r="S8" s="984">
        <f>SUM(N8:R8)</f>
        <v>39.22</v>
      </c>
      <c r="T8" s="987">
        <f t="shared" ref="T8:T14" si="1">M8-S8</f>
        <v>0</v>
      </c>
      <c r="U8" s="988" t="str">
        <f t="shared" ref="U8:U14" si="2">IF(T8=0,"Equal","Not Equal &gt; Please check")</f>
        <v>Equal</v>
      </c>
    </row>
    <row r="9" spans="1:23">
      <c r="A9" s="977"/>
      <c r="B9" s="978" t="s">
        <v>498</v>
      </c>
      <c r="C9" s="978"/>
      <c r="D9" s="979"/>
      <c r="E9" s="980" t="s">
        <v>105</v>
      </c>
      <c r="F9" s="981">
        <v>42651.45</v>
      </c>
      <c r="G9" s="986">
        <v>0</v>
      </c>
      <c r="H9" s="983"/>
      <c r="I9" s="989"/>
      <c r="J9" s="981">
        <v>0</v>
      </c>
      <c r="K9" s="1003"/>
      <c r="L9" s="989"/>
      <c r="M9" s="984">
        <f t="shared" si="0"/>
        <v>42651.45</v>
      </c>
      <c r="N9" s="985">
        <v>42651.45</v>
      </c>
      <c r="O9" s="986">
        <v>0</v>
      </c>
      <c r="P9" s="983">
        <v>0</v>
      </c>
      <c r="Q9" s="989"/>
      <c r="R9" s="1005"/>
      <c r="S9" s="984">
        <f>SUM(N9:R9)</f>
        <v>42651.45</v>
      </c>
      <c r="T9" s="987">
        <f t="shared" si="1"/>
        <v>0</v>
      </c>
      <c r="U9" s="988" t="str">
        <f t="shared" si="2"/>
        <v>Equal</v>
      </c>
    </row>
    <row r="10" spans="1:23">
      <c r="A10" s="990"/>
      <c r="B10" s="991"/>
      <c r="C10" s="991" t="s">
        <v>492</v>
      </c>
      <c r="D10" s="992"/>
      <c r="E10" s="993" t="s">
        <v>105</v>
      </c>
      <c r="F10" s="994">
        <f>SUM(F8:F9)</f>
        <v>42690.67</v>
      </c>
      <c r="G10" s="994">
        <f t="shared" ref="G10:K10" si="3">SUM(G8:G9)</f>
        <v>0</v>
      </c>
      <c r="H10" s="996">
        <f t="shared" si="3"/>
        <v>0</v>
      </c>
      <c r="I10" s="995"/>
      <c r="J10" s="994">
        <f t="shared" si="3"/>
        <v>0</v>
      </c>
      <c r="K10" s="996">
        <f t="shared" si="3"/>
        <v>0</v>
      </c>
      <c r="L10" s="995"/>
      <c r="M10" s="996">
        <f t="shared" si="0"/>
        <v>42690.67</v>
      </c>
      <c r="N10" s="997">
        <f t="shared" ref="N10:S10" si="4">SUM(N8:N9)</f>
        <v>42690.67</v>
      </c>
      <c r="O10" s="994">
        <f t="shared" si="4"/>
        <v>0</v>
      </c>
      <c r="P10" s="996">
        <f t="shared" si="4"/>
        <v>0</v>
      </c>
      <c r="Q10" s="989"/>
      <c r="R10" s="1005"/>
      <c r="S10" s="996">
        <f t="shared" si="4"/>
        <v>42690.67</v>
      </c>
      <c r="T10" s="987">
        <f t="shared" si="1"/>
        <v>0</v>
      </c>
      <c r="U10" s="988" t="str">
        <f t="shared" si="2"/>
        <v>Equal</v>
      </c>
    </row>
    <row r="11" spans="1:23">
      <c r="A11" s="977"/>
      <c r="B11" s="978" t="s">
        <v>499</v>
      </c>
      <c r="C11" s="978"/>
      <c r="D11" s="979"/>
      <c r="E11" s="980" t="s">
        <v>493</v>
      </c>
      <c r="F11" s="981">
        <v>4439090</v>
      </c>
      <c r="G11" s="986">
        <v>0</v>
      </c>
      <c r="H11" s="983"/>
      <c r="I11" s="989"/>
      <c r="J11" s="981">
        <v>0</v>
      </c>
      <c r="K11" s="1003"/>
      <c r="L11" s="989"/>
      <c r="M11" s="984">
        <f t="shared" si="0"/>
        <v>4439090</v>
      </c>
      <c r="N11" s="985">
        <v>4439090</v>
      </c>
      <c r="O11" s="986">
        <v>0</v>
      </c>
      <c r="P11" s="983">
        <v>0</v>
      </c>
      <c r="Q11" s="989"/>
      <c r="R11" s="1005"/>
      <c r="S11" s="984">
        <f>SUM(N11:R11)</f>
        <v>4439090</v>
      </c>
      <c r="T11" s="987">
        <f t="shared" si="1"/>
        <v>0</v>
      </c>
      <c r="U11" s="988" t="str">
        <f t="shared" si="2"/>
        <v>Equal</v>
      </c>
    </row>
    <row r="12" spans="1:23">
      <c r="A12" s="977"/>
      <c r="B12" s="978" t="s">
        <v>500</v>
      </c>
      <c r="C12" s="978"/>
      <c r="D12" s="979"/>
      <c r="E12" s="980" t="s">
        <v>494</v>
      </c>
      <c r="F12" s="981">
        <v>624360</v>
      </c>
      <c r="G12" s="986">
        <v>21537</v>
      </c>
      <c r="H12" s="983"/>
      <c r="I12" s="989"/>
      <c r="J12" s="981">
        <v>0</v>
      </c>
      <c r="K12" s="1003"/>
      <c r="L12" s="989"/>
      <c r="M12" s="984">
        <f t="shared" si="0"/>
        <v>602823</v>
      </c>
      <c r="N12" s="985">
        <v>602823</v>
      </c>
      <c r="O12" s="986">
        <v>0</v>
      </c>
      <c r="P12" s="983">
        <v>0</v>
      </c>
      <c r="Q12" s="989"/>
      <c r="R12" s="1005"/>
      <c r="S12" s="984">
        <f>SUM(N12:R12)</f>
        <v>602823</v>
      </c>
      <c r="T12" s="987">
        <f t="shared" si="1"/>
        <v>0</v>
      </c>
      <c r="U12" s="988" t="str">
        <f t="shared" si="2"/>
        <v>Equal</v>
      </c>
    </row>
    <row r="13" spans="1:23">
      <c r="A13" s="1006"/>
      <c r="B13" s="1007" t="s">
        <v>501</v>
      </c>
      <c r="C13" s="1007"/>
      <c r="D13" s="1008"/>
      <c r="E13" s="1009" t="s">
        <v>495</v>
      </c>
      <c r="F13" s="1010">
        <v>43736</v>
      </c>
      <c r="G13" s="1011">
        <v>0</v>
      </c>
      <c r="H13" s="1012"/>
      <c r="I13" s="989"/>
      <c r="J13" s="1010">
        <v>0</v>
      </c>
      <c r="K13" s="1013"/>
      <c r="L13" s="989"/>
      <c r="M13" s="1014">
        <f t="shared" si="0"/>
        <v>43736</v>
      </c>
      <c r="N13" s="1015">
        <v>43736</v>
      </c>
      <c r="O13" s="1011">
        <v>0</v>
      </c>
      <c r="P13" s="1012">
        <v>0</v>
      </c>
      <c r="Q13" s="989"/>
      <c r="R13" s="1005"/>
      <c r="S13" s="1014">
        <f>SUM(N13:R13)</f>
        <v>43736</v>
      </c>
      <c r="T13" s="987">
        <f t="shared" si="1"/>
        <v>0</v>
      </c>
      <c r="U13" s="988" t="str">
        <f t="shared" si="2"/>
        <v>Equal</v>
      </c>
    </row>
    <row r="14" spans="1:23">
      <c r="A14" s="1016"/>
      <c r="B14" s="1017" t="s">
        <v>502</v>
      </c>
      <c r="C14" s="1017"/>
      <c r="D14" s="1018"/>
      <c r="E14" s="1019" t="s">
        <v>495</v>
      </c>
      <c r="F14" s="1020">
        <v>7.0000000000000007E-2</v>
      </c>
      <c r="G14" s="1021"/>
      <c r="H14" s="1022"/>
      <c r="I14" s="1023"/>
      <c r="J14" s="1021"/>
      <c r="K14" s="1022"/>
      <c r="L14" s="1023"/>
      <c r="M14" s="1024">
        <f t="shared" si="0"/>
        <v>7.0000000000000007E-2</v>
      </c>
      <c r="N14" s="1025">
        <v>7.0000000000000007E-2</v>
      </c>
      <c r="O14" s="1026">
        <v>0</v>
      </c>
      <c r="P14" s="1027">
        <v>0</v>
      </c>
      <c r="Q14" s="1023"/>
      <c r="R14" s="1028"/>
      <c r="S14" s="1024">
        <f>SUM(N14:R14)</f>
        <v>7.0000000000000007E-2</v>
      </c>
      <c r="T14" s="987">
        <f t="shared" si="1"/>
        <v>0</v>
      </c>
      <c r="U14" s="988" t="str">
        <f t="shared" si="2"/>
        <v>Equal</v>
      </c>
    </row>
    <row r="15" spans="1:23">
      <c r="A15" s="1029" t="s">
        <v>503</v>
      </c>
      <c r="B15" s="1029"/>
      <c r="C15" s="1029"/>
      <c r="D15" s="1029"/>
      <c r="E15" s="1029"/>
      <c r="F15" s="1035">
        <f>SUM(F8:F14)-F10</f>
        <v>5149876.74</v>
      </c>
      <c r="G15" s="1035">
        <f t="shared" ref="G15:S15" si="5">SUM(G8:G14)-G10</f>
        <v>21537</v>
      </c>
      <c r="H15" s="1035">
        <f t="shared" si="5"/>
        <v>0</v>
      </c>
      <c r="I15" s="1035">
        <f t="shared" si="5"/>
        <v>0</v>
      </c>
      <c r="J15" s="1035">
        <f t="shared" si="5"/>
        <v>0</v>
      </c>
      <c r="K15" s="1035">
        <f t="shared" si="5"/>
        <v>0</v>
      </c>
      <c r="L15" s="1035">
        <f t="shared" si="5"/>
        <v>0</v>
      </c>
      <c r="M15" s="1035">
        <f t="shared" si="5"/>
        <v>5128339.74</v>
      </c>
      <c r="N15" s="1035">
        <f t="shared" si="5"/>
        <v>5128339.74</v>
      </c>
      <c r="O15" s="1035">
        <f t="shared" si="5"/>
        <v>0</v>
      </c>
      <c r="P15" s="1035">
        <f t="shared" si="5"/>
        <v>0</v>
      </c>
      <c r="Q15" s="1035">
        <f t="shared" si="5"/>
        <v>0</v>
      </c>
      <c r="R15" s="1035">
        <f t="shared" si="5"/>
        <v>0</v>
      </c>
      <c r="S15" s="1035">
        <f t="shared" si="5"/>
        <v>5128339.74</v>
      </c>
      <c r="U15" s="988"/>
    </row>
  </sheetData>
  <mergeCells count="5">
    <mergeCell ref="G4:L4"/>
    <mergeCell ref="N4:R4"/>
    <mergeCell ref="G5:I5"/>
    <mergeCell ref="J5:L5"/>
    <mergeCell ref="E2:F2"/>
  </mergeCells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N192"/>
  <sheetViews>
    <sheetView workbookViewId="0">
      <selection activeCell="H18" sqref="H18"/>
    </sheetView>
  </sheetViews>
  <sheetFormatPr defaultRowHeight="15"/>
  <cols>
    <col min="1" max="5" width="9.140625" customWidth="1"/>
    <col min="19" max="23" width="0" hidden="1" customWidth="1"/>
    <col min="24" max="27" width="0" style="1063" hidden="1" customWidth="1"/>
    <col min="28" max="28" width="9.140625" style="1063"/>
    <col min="29" max="29" width="9.140625" style="113"/>
    <col min="30" max="35" width="10.42578125" bestFit="1" customWidth="1"/>
    <col min="36" max="36" width="12.140625" bestFit="1" customWidth="1"/>
    <col min="37" max="40" width="10.42578125" bestFit="1" customWidth="1"/>
  </cols>
  <sheetData>
    <row r="1" spans="1:29">
      <c r="A1" s="950" t="s">
        <v>506</v>
      </c>
      <c r="B1" s="1056"/>
      <c r="C1" s="1056"/>
      <c r="D1" s="1056"/>
      <c r="E1" s="168" t="e">
        <f>(SUM(#REF!,#REF!)+12.5/24*#REF!+AVERAGE(#REF!)*2)*F1</f>
        <v>#REF!</v>
      </c>
      <c r="F1" s="168">
        <v>1.0011089375374052</v>
      </c>
      <c r="G1" s="168" t="e">
        <f>SUM(#REF!)*F1</f>
        <v>#REF!</v>
      </c>
      <c r="H1" s="1056"/>
      <c r="I1" s="1056"/>
      <c r="J1" s="168" t="e">
        <f>SUM(#REF!)+12.5/24*#REF!</f>
        <v>#REF!</v>
      </c>
      <c r="K1" s="1056"/>
      <c r="L1" s="1057"/>
      <c r="M1" s="1058"/>
      <c r="N1" s="1059" t="s">
        <v>507</v>
      </c>
      <c r="R1" s="1060">
        <v>1000</v>
      </c>
      <c r="S1" s="1061" t="s">
        <v>508</v>
      </c>
      <c r="X1" s="1062" t="s">
        <v>509</v>
      </c>
      <c r="AB1" s="1915" t="s">
        <v>365</v>
      </c>
      <c r="AC1"/>
    </row>
    <row r="2" spans="1:29">
      <c r="A2" s="1064"/>
      <c r="B2" s="1056" t="s">
        <v>510</v>
      </c>
      <c r="C2" s="1056" t="s">
        <v>510</v>
      </c>
      <c r="D2" s="1056" t="s">
        <v>511</v>
      </c>
      <c r="E2" s="1056"/>
      <c r="F2" s="1056" t="s">
        <v>510</v>
      </c>
      <c r="G2" s="1056" t="s">
        <v>512</v>
      </c>
      <c r="H2" s="1056" t="s">
        <v>510</v>
      </c>
      <c r="I2" s="1056" t="s">
        <v>513</v>
      </c>
      <c r="J2" s="1056" t="s">
        <v>514</v>
      </c>
      <c r="K2" s="1056" t="s">
        <v>515</v>
      </c>
      <c r="L2" s="1057" t="s">
        <v>516</v>
      </c>
      <c r="M2" s="1058"/>
      <c r="N2" s="168"/>
      <c r="O2" s="168"/>
      <c r="P2" s="168"/>
      <c r="Q2" s="168"/>
      <c r="R2" s="168"/>
      <c r="AB2" s="1915"/>
      <c r="AC2"/>
    </row>
    <row r="3" spans="1:29">
      <c r="A3" s="1064"/>
      <c r="B3" s="1056" t="s">
        <v>517</v>
      </c>
      <c r="C3" s="1056" t="s">
        <v>517</v>
      </c>
      <c r="D3" s="1056" t="s">
        <v>517</v>
      </c>
      <c r="E3" s="1056" t="s">
        <v>38</v>
      </c>
      <c r="F3" s="1056" t="s">
        <v>517</v>
      </c>
      <c r="G3" s="1056" t="s">
        <v>517</v>
      </c>
      <c r="H3" s="1056" t="s">
        <v>517</v>
      </c>
      <c r="I3" s="1056" t="s">
        <v>517</v>
      </c>
      <c r="J3" s="1056" t="s">
        <v>517</v>
      </c>
      <c r="K3" s="1056" t="s">
        <v>517</v>
      </c>
      <c r="L3" s="1057" t="s">
        <v>518</v>
      </c>
      <c r="M3" s="1058"/>
      <c r="N3" s="1065" t="s">
        <v>517</v>
      </c>
      <c r="O3" s="1065" t="s">
        <v>517</v>
      </c>
      <c r="P3" s="1065" t="s">
        <v>517</v>
      </c>
      <c r="Q3" s="1065" t="s">
        <v>517</v>
      </c>
      <c r="R3" s="1066" t="s">
        <v>518</v>
      </c>
      <c r="S3" s="1067" t="s">
        <v>517</v>
      </c>
      <c r="T3" s="1067" t="s">
        <v>517</v>
      </c>
      <c r="U3" s="1067" t="s">
        <v>38</v>
      </c>
      <c r="V3" s="1067" t="s">
        <v>517</v>
      </c>
      <c r="W3" s="1068" t="s">
        <v>518</v>
      </c>
      <c r="X3" s="1069" t="s">
        <v>517</v>
      </c>
      <c r="Y3" s="1069" t="s">
        <v>517</v>
      </c>
      <c r="Z3" s="1069" t="s">
        <v>517</v>
      </c>
      <c r="AA3" s="1070" t="s">
        <v>518</v>
      </c>
      <c r="AB3" s="1915"/>
      <c r="AC3"/>
    </row>
    <row r="4" spans="1:29">
      <c r="A4" s="1071" t="s">
        <v>107</v>
      </c>
      <c r="B4" s="1072" t="s">
        <v>519</v>
      </c>
      <c r="C4" s="1072" t="s">
        <v>520</v>
      </c>
      <c r="D4" s="1072" t="s">
        <v>521</v>
      </c>
      <c r="E4" s="1072" t="s">
        <v>521</v>
      </c>
      <c r="F4" s="1072" t="s">
        <v>522</v>
      </c>
      <c r="G4" s="1072" t="s">
        <v>34</v>
      </c>
      <c r="H4" s="1072" t="s">
        <v>36</v>
      </c>
      <c r="I4" s="1072" t="s">
        <v>523</v>
      </c>
      <c r="J4" s="1072" t="s">
        <v>35</v>
      </c>
      <c r="K4" s="1072" t="s">
        <v>524</v>
      </c>
      <c r="L4" s="1073" t="s">
        <v>525</v>
      </c>
      <c r="M4" s="1058"/>
      <c r="N4" s="1074" t="s">
        <v>526</v>
      </c>
      <c r="O4" s="1074" t="s">
        <v>527</v>
      </c>
      <c r="P4" s="1074" t="s">
        <v>522</v>
      </c>
      <c r="Q4" s="1074" t="s">
        <v>528</v>
      </c>
      <c r="R4" s="1075" t="s">
        <v>529</v>
      </c>
      <c r="S4" s="1076" t="s">
        <v>530</v>
      </c>
      <c r="T4" s="1076" t="s">
        <v>531</v>
      </c>
      <c r="U4" s="1076" t="s">
        <v>37</v>
      </c>
      <c r="V4" s="1076" t="s">
        <v>532</v>
      </c>
      <c r="W4" s="1077" t="s">
        <v>533</v>
      </c>
      <c r="X4" s="1078" t="s">
        <v>519</v>
      </c>
      <c r="Y4" s="1078" t="s">
        <v>520</v>
      </c>
      <c r="Z4" s="1078" t="s">
        <v>34</v>
      </c>
      <c r="AA4" s="1079" t="s">
        <v>525</v>
      </c>
      <c r="AB4" s="1915"/>
      <c r="AC4"/>
    </row>
    <row r="5" spans="1:29">
      <c r="A5" s="1082">
        <v>42552</v>
      </c>
      <c r="B5" s="1081">
        <v>51.914853944052311</v>
      </c>
      <c r="C5" s="1081">
        <v>6.01171875</v>
      </c>
      <c r="D5" s="1081">
        <v>9.546875</v>
      </c>
      <c r="E5" s="1083">
        <v>7631.394884092726</v>
      </c>
      <c r="F5" s="1081">
        <v>55.1015625</v>
      </c>
      <c r="G5" s="1081">
        <v>0</v>
      </c>
      <c r="H5" s="1081">
        <v>1.6766861081123352E-3</v>
      </c>
      <c r="I5" s="1081">
        <v>65.796875</v>
      </c>
      <c r="J5" s="1081">
        <v>692.234375</v>
      </c>
      <c r="K5" s="1081">
        <v>36.5234375</v>
      </c>
      <c r="L5" s="1081">
        <v>31.984375</v>
      </c>
      <c r="M5" s="1058">
        <f t="shared" ref="M5:M22" si="0">MONTH(A5)</f>
        <v>7</v>
      </c>
      <c r="N5" s="1089">
        <v>111.25</v>
      </c>
      <c r="O5" s="1089">
        <v>0.46</v>
      </c>
      <c r="P5" s="1089">
        <v>0</v>
      </c>
      <c r="Q5" s="1089">
        <v>126.12</v>
      </c>
      <c r="R5" s="1089">
        <v>36.118499999999997</v>
      </c>
      <c r="S5" s="1085"/>
      <c r="T5" s="1085"/>
      <c r="U5" s="1085"/>
      <c r="V5" s="1085"/>
      <c r="W5" s="1085"/>
      <c r="X5" s="1086"/>
      <c r="Y5" s="1086"/>
      <c r="Z5" s="1087"/>
      <c r="AA5" s="1087"/>
      <c r="AB5" s="1091">
        <v>0</v>
      </c>
      <c r="AC5" s="1089" t="s">
        <v>535</v>
      </c>
    </row>
    <row r="6" spans="1:29">
      <c r="A6" s="1082">
        <v>42553</v>
      </c>
      <c r="B6" s="1081">
        <v>134.44115597847306</v>
      </c>
      <c r="C6" s="1081">
        <v>14.40625</v>
      </c>
      <c r="D6" s="1081">
        <v>12.208984375</v>
      </c>
      <c r="E6" s="1081">
        <v>9759.3799960031993</v>
      </c>
      <c r="F6" s="1081">
        <v>57.5546875</v>
      </c>
      <c r="G6" s="1081">
        <v>0</v>
      </c>
      <c r="H6" s="1081">
        <v>0</v>
      </c>
      <c r="I6" s="1081">
        <v>52.171875</v>
      </c>
      <c r="J6" s="1081">
        <v>1360.453125</v>
      </c>
      <c r="K6" s="1081">
        <v>40.86328125</v>
      </c>
      <c r="L6" s="1081">
        <v>48.5546875</v>
      </c>
      <c r="M6" s="1058">
        <f t="shared" si="0"/>
        <v>7</v>
      </c>
      <c r="N6" s="1084">
        <v>136.03</v>
      </c>
      <c r="O6" s="1084">
        <v>0</v>
      </c>
      <c r="P6" s="1084">
        <v>0</v>
      </c>
      <c r="Q6" s="1084">
        <v>232.97</v>
      </c>
      <c r="R6" s="1084">
        <v>46.10740000000596</v>
      </c>
      <c r="S6" s="1085"/>
      <c r="T6" s="1085"/>
      <c r="U6" s="1085"/>
      <c r="V6" s="1085"/>
      <c r="W6" s="1085"/>
      <c r="X6" s="1086"/>
      <c r="Y6" s="1086"/>
      <c r="Z6" s="1087"/>
      <c r="AA6" s="1087"/>
      <c r="AB6" s="1088">
        <v>0</v>
      </c>
      <c r="AC6" s="1090" t="s">
        <v>534</v>
      </c>
    </row>
    <row r="7" spans="1:29">
      <c r="A7" s="1082">
        <v>42554</v>
      </c>
      <c r="B7" s="1081">
        <v>134.59039474755789</v>
      </c>
      <c r="C7" s="1081">
        <v>13.123046875</v>
      </c>
      <c r="D7" s="1081">
        <v>13.3359375</v>
      </c>
      <c r="E7" s="1081">
        <v>10660.221822541967</v>
      </c>
      <c r="F7" s="1081">
        <v>53.44921875</v>
      </c>
      <c r="G7" s="1081">
        <v>0</v>
      </c>
      <c r="H7" s="1081">
        <v>0</v>
      </c>
      <c r="I7" s="1081">
        <v>83.8671875</v>
      </c>
      <c r="J7" s="1081">
        <v>989.568359375</v>
      </c>
      <c r="K7" s="1081">
        <v>19.822265625</v>
      </c>
      <c r="L7" s="1081">
        <v>49.9921875</v>
      </c>
      <c r="M7" s="1058">
        <f t="shared" si="0"/>
        <v>7</v>
      </c>
      <c r="N7" s="1084">
        <v>136.63999999999999</v>
      </c>
      <c r="O7" s="1084">
        <v>0</v>
      </c>
      <c r="P7" s="1084">
        <v>0</v>
      </c>
      <c r="Q7" s="1084">
        <v>361.76</v>
      </c>
      <c r="R7" s="1084">
        <v>52.852299999997022</v>
      </c>
      <c r="S7" s="1085"/>
      <c r="T7" s="1085"/>
      <c r="U7" s="1085"/>
      <c r="V7" s="1085"/>
      <c r="W7" s="1085"/>
      <c r="X7" s="1086"/>
      <c r="Y7" s="1086"/>
      <c r="Z7" s="1087"/>
      <c r="AA7" s="1087"/>
      <c r="AB7" s="1088">
        <v>0</v>
      </c>
      <c r="AC7" s="1090" t="s">
        <v>534</v>
      </c>
    </row>
    <row r="8" spans="1:29">
      <c r="A8" s="1082">
        <v>42555</v>
      </c>
      <c r="B8" s="1081">
        <v>132.83653387704635</v>
      </c>
      <c r="C8" s="1081">
        <v>12.880859375</v>
      </c>
      <c r="D8" s="1081">
        <v>13.37109375</v>
      </c>
      <c r="E8" s="1081">
        <v>10688.324340527579</v>
      </c>
      <c r="F8" s="1081">
        <v>58.46484375</v>
      </c>
      <c r="G8" s="1081">
        <v>0</v>
      </c>
      <c r="H8" s="1081">
        <v>0</v>
      </c>
      <c r="I8" s="1081">
        <v>57.140625</v>
      </c>
      <c r="J8" s="1081">
        <v>907.837890625</v>
      </c>
      <c r="K8" s="1081">
        <v>33.005859375</v>
      </c>
      <c r="L8" s="1081">
        <v>57.6171875</v>
      </c>
      <c r="M8" s="1058">
        <f t="shared" si="0"/>
        <v>7</v>
      </c>
      <c r="N8" s="1084">
        <v>131.37</v>
      </c>
      <c r="O8" s="1084">
        <v>0.13</v>
      </c>
      <c r="P8" s="1084">
        <v>0</v>
      </c>
      <c r="Q8" s="1084">
        <v>57.4</v>
      </c>
      <c r="R8" s="1084">
        <v>54.892400000005964</v>
      </c>
      <c r="S8" s="1085"/>
      <c r="T8" s="1085"/>
      <c r="U8" s="1085"/>
      <c r="V8" s="1085"/>
      <c r="W8" s="1085"/>
      <c r="X8" s="1086"/>
      <c r="Y8" s="1086"/>
      <c r="Z8" s="1087"/>
      <c r="AA8" s="1087"/>
      <c r="AB8" s="1088">
        <v>0</v>
      </c>
      <c r="AC8" s="1090" t="s">
        <v>534</v>
      </c>
    </row>
    <row r="9" spans="1:29">
      <c r="A9" s="1082">
        <v>42556</v>
      </c>
      <c r="B9" s="1081">
        <v>169.08159187926012</v>
      </c>
      <c r="C9" s="1081">
        <v>12.875</v>
      </c>
      <c r="D9" s="1081">
        <v>10.953125</v>
      </c>
      <c r="E9" s="1081">
        <v>8755.4956035171854</v>
      </c>
      <c r="F9" s="1081">
        <v>53.50390625</v>
      </c>
      <c r="G9" s="1081">
        <v>0.353515625</v>
      </c>
      <c r="H9" s="1081">
        <v>0</v>
      </c>
      <c r="I9" s="1081">
        <v>28.8515625</v>
      </c>
      <c r="J9" s="1081">
        <v>1009.359375</v>
      </c>
      <c r="K9" s="1081">
        <v>22.603515625</v>
      </c>
      <c r="L9" s="1081">
        <v>64.59375</v>
      </c>
      <c r="M9" s="1058">
        <f t="shared" si="0"/>
        <v>7</v>
      </c>
      <c r="N9" s="1084">
        <v>168.63</v>
      </c>
      <c r="O9" s="1084">
        <v>0</v>
      </c>
      <c r="P9" s="1084">
        <v>0</v>
      </c>
      <c r="Q9" s="1084">
        <v>111.62</v>
      </c>
      <c r="R9" s="1084">
        <v>65.113199999988083</v>
      </c>
      <c r="S9" s="1085"/>
      <c r="T9" s="1085"/>
      <c r="U9" s="1085"/>
      <c r="V9" s="1085"/>
      <c r="W9" s="1085"/>
      <c r="X9" s="1086"/>
      <c r="Y9" s="1086"/>
      <c r="Z9" s="1087"/>
      <c r="AA9" s="1087"/>
      <c r="AB9" s="1088">
        <v>0</v>
      </c>
      <c r="AC9" s="1090" t="s">
        <v>534</v>
      </c>
    </row>
    <row r="10" spans="1:29">
      <c r="A10" s="1082">
        <v>42557</v>
      </c>
      <c r="B10" s="1081">
        <v>526.87345437226497</v>
      </c>
      <c r="C10" s="1081">
        <v>13.083984375</v>
      </c>
      <c r="D10" s="1081">
        <v>10.5703125</v>
      </c>
      <c r="E10" s="1081">
        <v>8449.4904076738621</v>
      </c>
      <c r="F10" s="1081">
        <v>58.59765625</v>
      </c>
      <c r="G10" s="1081">
        <v>0</v>
      </c>
      <c r="H10" s="1081">
        <v>0</v>
      </c>
      <c r="I10" s="1081">
        <v>74.8828125</v>
      </c>
      <c r="J10" s="1081">
        <v>1465.623046875</v>
      </c>
      <c r="K10" s="1081">
        <v>38.9375</v>
      </c>
      <c r="L10" s="1081">
        <v>79.6328125</v>
      </c>
      <c r="M10" s="1058">
        <f t="shared" si="0"/>
        <v>7</v>
      </c>
      <c r="N10" s="1084">
        <v>551.17999999999995</v>
      </c>
      <c r="O10" s="1084">
        <v>0</v>
      </c>
      <c r="P10" s="1084">
        <v>0</v>
      </c>
      <c r="Q10" s="1084">
        <v>28.83</v>
      </c>
      <c r="R10" s="1084">
        <v>80.598100000008941</v>
      </c>
      <c r="S10" s="1085"/>
      <c r="T10" s="1085"/>
      <c r="U10" s="1085"/>
      <c r="V10" s="1085"/>
      <c r="W10" s="1085"/>
      <c r="X10" s="1086"/>
      <c r="Y10" s="1086"/>
      <c r="Z10" s="1087"/>
      <c r="AA10" s="1087"/>
      <c r="AB10" s="1088">
        <v>0</v>
      </c>
      <c r="AC10" s="1090" t="s">
        <v>534</v>
      </c>
    </row>
    <row r="11" spans="1:29">
      <c r="A11" s="1082">
        <v>42558</v>
      </c>
      <c r="B11" s="1081">
        <v>612.88842433179366</v>
      </c>
      <c r="C11" s="1081">
        <v>13.33984375</v>
      </c>
      <c r="D11" s="1081">
        <v>10.23046875</v>
      </c>
      <c r="E11" s="1081">
        <v>8177.8327338129502</v>
      </c>
      <c r="F11" s="1081">
        <v>58.5</v>
      </c>
      <c r="G11" s="1081">
        <v>0</v>
      </c>
      <c r="H11" s="1081">
        <v>0</v>
      </c>
      <c r="I11" s="1081">
        <v>66.9453125</v>
      </c>
      <c r="J11" s="1081">
        <v>1468.849609375</v>
      </c>
      <c r="K11" s="1081">
        <v>19.263671875</v>
      </c>
      <c r="L11" s="1081">
        <v>86.5546875</v>
      </c>
      <c r="M11" s="1058">
        <f t="shared" si="0"/>
        <v>7</v>
      </c>
      <c r="N11" s="1084">
        <v>620.61</v>
      </c>
      <c r="O11" s="1084">
        <v>0</v>
      </c>
      <c r="P11" s="1084">
        <v>0</v>
      </c>
      <c r="Q11" s="1084">
        <v>20.73</v>
      </c>
      <c r="R11" s="1084">
        <v>89.214799999997027</v>
      </c>
      <c r="S11" s="1085"/>
      <c r="T11" s="1085"/>
      <c r="U11" s="1085"/>
      <c r="V11" s="1085"/>
      <c r="W11" s="1085"/>
      <c r="X11" s="1086"/>
      <c r="Y11" s="1086"/>
      <c r="Z11" s="1087"/>
      <c r="AA11" s="1087"/>
      <c r="AB11" s="1088">
        <v>0</v>
      </c>
      <c r="AC11" s="1090" t="s">
        <v>534</v>
      </c>
    </row>
    <row r="12" spans="1:29">
      <c r="A12" s="1082">
        <v>42559</v>
      </c>
      <c r="B12" s="1081">
        <v>614.57035059034911</v>
      </c>
      <c r="C12" s="1081">
        <v>15.8515625</v>
      </c>
      <c r="D12" s="1081">
        <v>3.638671875</v>
      </c>
      <c r="E12" s="1081">
        <v>2908.6106115107918</v>
      </c>
      <c r="F12" s="1081">
        <v>447.76171875</v>
      </c>
      <c r="G12" s="1081">
        <v>0</v>
      </c>
      <c r="H12" s="1081">
        <v>0</v>
      </c>
      <c r="I12" s="1081">
        <v>76.0703125</v>
      </c>
      <c r="J12" s="1081">
        <v>1472.71875</v>
      </c>
      <c r="K12" s="1081">
        <v>27.130859375</v>
      </c>
      <c r="L12" s="1081">
        <v>87.15625</v>
      </c>
      <c r="M12" s="1058">
        <f t="shared" si="0"/>
        <v>7</v>
      </c>
      <c r="N12" s="1084">
        <v>593.12</v>
      </c>
      <c r="O12" s="1084">
        <v>4.91</v>
      </c>
      <c r="P12" s="1084">
        <v>442.86</v>
      </c>
      <c r="Q12" s="1084">
        <v>7.35</v>
      </c>
      <c r="R12" s="1084">
        <v>83.168000000000006</v>
      </c>
      <c r="S12" s="1085"/>
      <c r="T12" s="1085"/>
      <c r="U12" s="1085"/>
      <c r="V12" s="1085"/>
      <c r="W12" s="1085"/>
      <c r="X12" s="1086"/>
      <c r="Y12" s="1086"/>
      <c r="Z12" s="1087"/>
      <c r="AA12" s="1087"/>
      <c r="AB12" s="1088">
        <v>0</v>
      </c>
      <c r="AC12" s="1090" t="s">
        <v>534</v>
      </c>
    </row>
    <row r="13" spans="1:29">
      <c r="A13" s="1082">
        <v>42560</v>
      </c>
      <c r="B13" s="1081">
        <v>645.0129789509308</v>
      </c>
      <c r="C13" s="1081">
        <v>18.205078125</v>
      </c>
      <c r="D13" s="1081">
        <v>6.90625</v>
      </c>
      <c r="E13" s="1081">
        <v>5520.5835331734625</v>
      </c>
      <c r="F13" s="1081">
        <v>532.53125</v>
      </c>
      <c r="G13" s="1081">
        <v>0</v>
      </c>
      <c r="H13" s="1081">
        <v>0</v>
      </c>
      <c r="I13" s="1081">
        <v>70.046875</v>
      </c>
      <c r="J13" s="1081">
        <v>1571.66015625</v>
      </c>
      <c r="K13" s="1081">
        <v>22.330078125</v>
      </c>
      <c r="L13" s="1081">
        <v>88.7578125</v>
      </c>
      <c r="M13" s="1058">
        <f t="shared" si="0"/>
        <v>7</v>
      </c>
      <c r="N13" s="1084">
        <v>619.02</v>
      </c>
      <c r="O13" s="1084">
        <v>9.2899999999999991</v>
      </c>
      <c r="P13" s="1084">
        <v>537.19000000000005</v>
      </c>
      <c r="Q13" s="1084">
        <v>0</v>
      </c>
      <c r="R13" s="1084">
        <v>89.146000000000001</v>
      </c>
      <c r="S13" s="1085"/>
      <c r="T13" s="1085"/>
      <c r="U13" s="1085"/>
      <c r="V13" s="1085"/>
      <c r="W13" s="1085"/>
      <c r="X13" s="1086"/>
      <c r="Y13" s="1086"/>
      <c r="Z13" s="1087"/>
      <c r="AA13" s="1087"/>
      <c r="AB13" s="1088">
        <v>0</v>
      </c>
      <c r="AC13" s="1090" t="s">
        <v>534</v>
      </c>
    </row>
    <row r="14" spans="1:29">
      <c r="A14" s="1082">
        <v>42561</v>
      </c>
      <c r="B14" s="1081">
        <v>672.11086713314387</v>
      </c>
      <c r="C14" s="1081">
        <v>18.708984375</v>
      </c>
      <c r="D14" s="1081">
        <v>7.025390625</v>
      </c>
      <c r="E14" s="1081">
        <v>5615.8198441247005</v>
      </c>
      <c r="F14" s="1081">
        <v>515.49609375</v>
      </c>
      <c r="G14" s="1081">
        <v>0</v>
      </c>
      <c r="H14" s="1081">
        <v>0</v>
      </c>
      <c r="I14" s="1081">
        <v>39.6875</v>
      </c>
      <c r="J14" s="1081">
        <v>1584.259765625</v>
      </c>
      <c r="K14" s="1081">
        <v>25.05078125</v>
      </c>
      <c r="L14" s="1081">
        <v>89.765625</v>
      </c>
      <c r="M14" s="1058">
        <f t="shared" si="0"/>
        <v>7</v>
      </c>
      <c r="N14" s="1084">
        <v>647.24</v>
      </c>
      <c r="O14" s="1084">
        <v>9.74</v>
      </c>
      <c r="P14" s="1084">
        <v>516.39</v>
      </c>
      <c r="Q14" s="1084">
        <v>0</v>
      </c>
      <c r="R14" s="1084">
        <v>89.498400000005958</v>
      </c>
      <c r="S14" s="1085"/>
      <c r="T14" s="1085"/>
      <c r="U14" s="1085"/>
      <c r="V14" s="1085"/>
      <c r="W14" s="1085"/>
      <c r="X14" s="1086"/>
      <c r="Y14" s="1086"/>
      <c r="Z14" s="1087"/>
      <c r="AA14" s="1087"/>
      <c r="AB14" s="1088">
        <v>0</v>
      </c>
      <c r="AC14" s="1090" t="s">
        <v>534</v>
      </c>
    </row>
    <row r="15" spans="1:29">
      <c r="A15" s="1082">
        <v>42562</v>
      </c>
      <c r="B15" s="1081">
        <v>725.58299444276417</v>
      </c>
      <c r="C15" s="1081">
        <v>17.513671875</v>
      </c>
      <c r="D15" s="1081">
        <v>6.0625</v>
      </c>
      <c r="E15" s="1081">
        <v>4846.1231015187859</v>
      </c>
      <c r="F15" s="1081">
        <v>687.328125</v>
      </c>
      <c r="G15" s="1081">
        <v>0</v>
      </c>
      <c r="H15" s="1081">
        <v>0</v>
      </c>
      <c r="I15" s="1081">
        <v>65.90625</v>
      </c>
      <c r="J15" s="1081">
        <v>1583.859375</v>
      </c>
      <c r="K15" s="1081">
        <v>32.259765625</v>
      </c>
      <c r="L15" s="1081">
        <v>91.8984375</v>
      </c>
      <c r="M15" s="1058">
        <f t="shared" si="0"/>
        <v>7</v>
      </c>
      <c r="N15" s="1084">
        <v>702.71</v>
      </c>
      <c r="O15" s="1084">
        <v>6.83</v>
      </c>
      <c r="P15" s="1084">
        <v>698.44</v>
      </c>
      <c r="Q15" s="1084">
        <v>45.34</v>
      </c>
      <c r="R15" s="1084">
        <v>95.517099999994045</v>
      </c>
      <c r="S15" s="1085"/>
      <c r="T15" s="1085"/>
      <c r="U15" s="1085"/>
      <c r="V15" s="1085"/>
      <c r="W15" s="1085"/>
      <c r="X15" s="1086"/>
      <c r="Y15" s="1086"/>
      <c r="Z15" s="1087"/>
      <c r="AA15" s="1087"/>
      <c r="AB15" s="1088">
        <v>0</v>
      </c>
      <c r="AC15" s="1090" t="s">
        <v>534</v>
      </c>
    </row>
    <row r="16" spans="1:29">
      <c r="A16" s="1082">
        <v>42563</v>
      </c>
      <c r="B16" s="1081">
        <v>750.58923490255461</v>
      </c>
      <c r="C16" s="1081">
        <v>17.8046875</v>
      </c>
      <c r="D16" s="1081">
        <v>9.7421875</v>
      </c>
      <c r="E16" s="1081">
        <v>7787.5199840127907</v>
      </c>
      <c r="F16" s="1081">
        <v>744.484375</v>
      </c>
      <c r="G16" s="1081">
        <v>0</v>
      </c>
      <c r="H16" s="1081">
        <v>0</v>
      </c>
      <c r="I16" s="1081">
        <v>53.1796875</v>
      </c>
      <c r="J16" s="1081">
        <v>1610.359375</v>
      </c>
      <c r="K16" s="1081">
        <v>25.857421875</v>
      </c>
      <c r="L16" s="1081">
        <v>95.25</v>
      </c>
      <c r="M16" s="1058">
        <f t="shared" si="0"/>
        <v>7</v>
      </c>
      <c r="N16" s="1084">
        <v>720.61</v>
      </c>
      <c r="O16" s="1084">
        <v>7.31</v>
      </c>
      <c r="P16" s="1084">
        <v>757.21</v>
      </c>
      <c r="Q16" s="1084">
        <v>171.97</v>
      </c>
      <c r="R16" s="1084">
        <v>92.499299999997021</v>
      </c>
      <c r="S16" s="1085"/>
      <c r="T16" s="1085"/>
      <c r="U16" s="1085"/>
      <c r="V16" s="1085"/>
      <c r="W16" s="1085"/>
      <c r="X16" s="1086"/>
      <c r="Y16" s="1086"/>
      <c r="Z16" s="1087"/>
      <c r="AA16" s="1087"/>
      <c r="AB16" s="1088">
        <v>0</v>
      </c>
      <c r="AC16" s="1090" t="s">
        <v>534</v>
      </c>
    </row>
    <row r="17" spans="1:40">
      <c r="A17" s="1082">
        <v>42564</v>
      </c>
      <c r="B17" s="1081">
        <v>735.19128218254116</v>
      </c>
      <c r="C17" s="1081">
        <v>16.599609375</v>
      </c>
      <c r="D17" s="1081">
        <v>10.783203125</v>
      </c>
      <c r="E17" s="1081">
        <v>8619.6667665867299</v>
      </c>
      <c r="F17" s="1081">
        <v>746.09375</v>
      </c>
      <c r="G17" s="1081">
        <v>0</v>
      </c>
      <c r="H17" s="1081">
        <v>0</v>
      </c>
      <c r="I17" s="1081">
        <v>80.9765625</v>
      </c>
      <c r="J17" s="1081">
        <v>1599.32421875</v>
      </c>
      <c r="K17" s="1081">
        <v>24.0234375</v>
      </c>
      <c r="L17" s="1081">
        <v>101.015625</v>
      </c>
      <c r="M17" s="1058">
        <f t="shared" si="0"/>
        <v>7</v>
      </c>
      <c r="N17" s="1084">
        <v>712.84</v>
      </c>
      <c r="O17" s="1084">
        <v>4.91</v>
      </c>
      <c r="P17" s="1084">
        <v>765.67</v>
      </c>
      <c r="Q17" s="1084">
        <v>190</v>
      </c>
      <c r="R17" s="1084">
        <v>102.2255</v>
      </c>
      <c r="S17" s="1085"/>
      <c r="T17" s="1085"/>
      <c r="U17" s="1085"/>
      <c r="V17" s="1085"/>
      <c r="W17" s="1085"/>
      <c r="X17" s="1086"/>
      <c r="Y17" s="1086"/>
      <c r="Z17" s="1087"/>
      <c r="AA17" s="1087"/>
      <c r="AB17" s="1088">
        <v>0</v>
      </c>
      <c r="AC17" s="1090" t="s">
        <v>534</v>
      </c>
    </row>
    <row r="18" spans="1:40">
      <c r="A18" s="1082">
        <v>42565</v>
      </c>
      <c r="B18" s="1081">
        <v>579.13423092511005</v>
      </c>
      <c r="C18" s="1081">
        <v>14.306640625</v>
      </c>
      <c r="D18" s="1081">
        <v>23.03515625</v>
      </c>
      <c r="E18" s="1081">
        <v>18413.394284572343</v>
      </c>
      <c r="F18" s="1081">
        <v>573.43359375</v>
      </c>
      <c r="G18" s="1081">
        <v>0</v>
      </c>
      <c r="H18" s="1081">
        <v>0</v>
      </c>
      <c r="I18" s="1081">
        <v>78.7265625</v>
      </c>
      <c r="J18" s="1081">
        <v>1609.27734375</v>
      </c>
      <c r="K18" s="1081">
        <v>19.412109375</v>
      </c>
      <c r="L18" s="1081">
        <v>99.125</v>
      </c>
      <c r="M18" s="1058">
        <f t="shared" si="0"/>
        <v>7</v>
      </c>
      <c r="N18" s="1084">
        <v>562.44000000000005</v>
      </c>
      <c r="O18" s="1084">
        <v>0</v>
      </c>
      <c r="P18" s="1084">
        <v>583.64</v>
      </c>
      <c r="Q18" s="1084">
        <v>143.19</v>
      </c>
      <c r="R18" s="1084">
        <v>102.38179999999701</v>
      </c>
      <c r="S18" s="1085"/>
      <c r="T18" s="1085"/>
      <c r="U18" s="1085"/>
      <c r="V18" s="1085"/>
      <c r="W18" s="1085"/>
      <c r="X18" s="1086"/>
      <c r="Y18" s="1086"/>
      <c r="Z18" s="1087"/>
      <c r="AA18" s="1087"/>
      <c r="AB18" s="1088">
        <v>0</v>
      </c>
      <c r="AC18" s="1090" t="s">
        <v>534</v>
      </c>
    </row>
    <row r="19" spans="1:40">
      <c r="A19" s="1082">
        <v>42566</v>
      </c>
      <c r="B19" s="1081">
        <v>898.72025401133567</v>
      </c>
      <c r="C19" s="1081">
        <v>14.3671875</v>
      </c>
      <c r="D19" s="1081">
        <v>26.25390625</v>
      </c>
      <c r="E19" s="1081">
        <v>20986.335931254998</v>
      </c>
      <c r="F19" s="1081">
        <v>852.0859375</v>
      </c>
      <c r="G19" s="1081">
        <v>0</v>
      </c>
      <c r="H19" s="1081">
        <v>0</v>
      </c>
      <c r="I19" s="1081">
        <v>68.8828125</v>
      </c>
      <c r="J19" s="1081">
        <v>1692.75390625</v>
      </c>
      <c r="K19" s="1081">
        <v>17.40234375</v>
      </c>
      <c r="L19" s="1081">
        <v>127.34375</v>
      </c>
      <c r="M19" s="1058">
        <f t="shared" si="0"/>
        <v>7</v>
      </c>
      <c r="N19" s="1084">
        <v>855.91</v>
      </c>
      <c r="O19" s="1084">
        <v>0</v>
      </c>
      <c r="P19" s="1084">
        <v>869.45</v>
      </c>
      <c r="Q19" s="1084">
        <v>114.71</v>
      </c>
      <c r="R19" s="1084">
        <v>141.11090000000596</v>
      </c>
      <c r="S19" s="1085"/>
      <c r="T19" s="1085"/>
      <c r="U19" s="1085"/>
      <c r="V19" s="1085"/>
      <c r="W19" s="1085"/>
      <c r="X19" s="1086"/>
      <c r="Y19" s="1086"/>
      <c r="Z19" s="1087"/>
      <c r="AA19" s="1087"/>
      <c r="AB19" s="1088">
        <v>0</v>
      </c>
      <c r="AC19" s="1090" t="s">
        <v>534</v>
      </c>
    </row>
    <row r="20" spans="1:40">
      <c r="A20" s="1082">
        <v>42567</v>
      </c>
      <c r="B20" s="1081">
        <v>1052.8862562753131</v>
      </c>
      <c r="C20" s="1081">
        <v>15.205078125</v>
      </c>
      <c r="D20" s="1081">
        <v>25.294921875</v>
      </c>
      <c r="E20" s="1081">
        <v>20219.761690647483</v>
      </c>
      <c r="F20" s="1081">
        <v>905.3515625</v>
      </c>
      <c r="G20" s="1081">
        <v>0</v>
      </c>
      <c r="H20" s="1081">
        <v>0</v>
      </c>
      <c r="I20" s="1081">
        <v>92.0390625</v>
      </c>
      <c r="J20" s="1081">
        <v>2397.375</v>
      </c>
      <c r="K20" s="1081">
        <v>31.607421875</v>
      </c>
      <c r="L20" s="1081">
        <v>129.9609375</v>
      </c>
      <c r="M20" s="1058">
        <f t="shared" si="0"/>
        <v>7</v>
      </c>
      <c r="N20" s="1084">
        <v>1008.35</v>
      </c>
      <c r="O20" s="1084">
        <v>0.34</v>
      </c>
      <c r="P20" s="1084">
        <v>928.62</v>
      </c>
      <c r="Q20" s="1084">
        <v>27.7</v>
      </c>
      <c r="R20" s="1084">
        <v>116.65390000000596</v>
      </c>
      <c r="S20" s="1085"/>
      <c r="T20" s="1085"/>
      <c r="U20" s="1085"/>
      <c r="V20" s="1085"/>
      <c r="W20" s="1085"/>
      <c r="X20" s="1086"/>
      <c r="Y20" s="1086"/>
      <c r="Z20" s="1087"/>
      <c r="AA20" s="1087"/>
      <c r="AB20" s="1088">
        <v>0</v>
      </c>
      <c r="AC20" s="1090" t="s">
        <v>534</v>
      </c>
    </row>
    <row r="21" spans="1:40">
      <c r="A21" s="1082">
        <v>42568</v>
      </c>
      <c r="B21" s="1081">
        <v>1022.4615259644806</v>
      </c>
      <c r="C21" s="1081">
        <v>14.6484375</v>
      </c>
      <c r="D21" s="1081">
        <v>18.044921875</v>
      </c>
      <c r="E21" s="1081">
        <v>14424.397981614711</v>
      </c>
      <c r="F21" s="1081">
        <v>880.7734375</v>
      </c>
      <c r="G21" s="1081">
        <v>0</v>
      </c>
      <c r="H21" s="1081">
        <v>0</v>
      </c>
      <c r="I21" s="1081">
        <v>79.453125</v>
      </c>
      <c r="J21" s="1081">
        <v>2275.796875</v>
      </c>
      <c r="K21" s="1081">
        <v>49.408203125</v>
      </c>
      <c r="L21" s="1081">
        <v>122.6171875</v>
      </c>
      <c r="M21" s="1058">
        <f t="shared" si="0"/>
        <v>7</v>
      </c>
      <c r="N21" s="1084">
        <v>976.67</v>
      </c>
      <c r="O21" s="1084">
        <v>0</v>
      </c>
      <c r="P21" s="1084">
        <v>903.09</v>
      </c>
      <c r="Q21" s="1084">
        <v>26.04</v>
      </c>
      <c r="R21" s="1084">
        <v>124.06209999999405</v>
      </c>
      <c r="S21" s="1085"/>
      <c r="T21" s="1085"/>
      <c r="U21" s="1085"/>
      <c r="V21" s="1085"/>
      <c r="W21" s="1085"/>
      <c r="X21" s="1086"/>
      <c r="Y21" s="1086"/>
      <c r="Z21" s="1087"/>
      <c r="AA21" s="1087"/>
      <c r="AB21" s="1088">
        <v>0</v>
      </c>
      <c r="AC21" s="1090" t="s">
        <v>534</v>
      </c>
    </row>
    <row r="22" spans="1:40">
      <c r="A22" s="1082">
        <v>42569</v>
      </c>
      <c r="B22" s="1081">
        <v>1148.1891005065752</v>
      </c>
      <c r="C22" s="1081">
        <v>14.796875</v>
      </c>
      <c r="D22" s="1081">
        <v>24.310546875</v>
      </c>
      <c r="E22" s="1081">
        <v>19432.891187050362</v>
      </c>
      <c r="F22" s="1081">
        <v>979.390625</v>
      </c>
      <c r="G22" s="1081">
        <v>0</v>
      </c>
      <c r="H22" s="1081">
        <v>0</v>
      </c>
      <c r="I22" s="1081">
        <v>64.421875</v>
      </c>
      <c r="J22" s="1081">
        <v>2145.23828125</v>
      </c>
      <c r="K22" s="1081">
        <v>14.677734375</v>
      </c>
      <c r="L22" s="1081">
        <v>131.1328125</v>
      </c>
      <c r="M22" s="1058">
        <f t="shared" si="0"/>
        <v>7</v>
      </c>
      <c r="N22" s="1084">
        <v>1098.98</v>
      </c>
      <c r="O22" s="1084">
        <v>0</v>
      </c>
      <c r="P22" s="1084">
        <v>1007.21</v>
      </c>
      <c r="Q22" s="1084">
        <v>13.86</v>
      </c>
      <c r="R22" s="1084">
        <v>130.42490000000595</v>
      </c>
      <c r="S22" s="1085"/>
      <c r="T22" s="1085"/>
      <c r="U22" s="1085"/>
      <c r="V22" s="1085"/>
      <c r="W22" s="1085"/>
      <c r="X22" s="1086"/>
      <c r="Y22" s="1086"/>
      <c r="Z22" s="1087"/>
      <c r="AA22" s="1087"/>
      <c r="AB22" s="1088">
        <v>25.830442000000005</v>
      </c>
      <c r="AC22" s="1090" t="s">
        <v>536</v>
      </c>
    </row>
    <row r="23" spans="1:40" s="1098" customFormat="1">
      <c r="A23" s="1094" t="s">
        <v>537</v>
      </c>
      <c r="B23" s="1095"/>
      <c r="C23" s="1095"/>
      <c r="D23" s="1095"/>
      <c r="E23" s="1096">
        <f t="shared" ref="E23" si="1">SUM(E5:E21)+(15/24*E22)</f>
        <v>185609.91050909276</v>
      </c>
      <c r="F23" s="1095"/>
      <c r="G23" s="1095"/>
      <c r="H23" s="1095"/>
      <c r="I23" s="1095"/>
      <c r="J23" s="1095"/>
      <c r="K23" s="1095"/>
      <c r="L23" s="1095"/>
      <c r="M23" s="1096"/>
      <c r="N23" s="1096">
        <f>SUM(N5:N21)+(15/24*N22)</f>
        <v>9941.4825000000001</v>
      </c>
      <c r="O23" s="1096">
        <f t="shared" ref="O23:R23" si="2">SUM(O5:O21)+(15/24*O22)</f>
        <v>43.92</v>
      </c>
      <c r="P23" s="1096">
        <f t="shared" si="2"/>
        <v>7632.0662500000008</v>
      </c>
      <c r="Q23" s="1096">
        <f t="shared" si="2"/>
        <v>1674.3925000000002</v>
      </c>
      <c r="R23" s="1096">
        <f t="shared" si="2"/>
        <v>1542.6752625000065</v>
      </c>
      <c r="S23" s="1096"/>
      <c r="T23" s="1096"/>
      <c r="U23" s="1096"/>
      <c r="V23" s="1096"/>
      <c r="W23" s="1096"/>
      <c r="X23" s="1096"/>
      <c r="Y23" s="1096"/>
      <c r="Z23" s="1097"/>
      <c r="AA23" s="1097"/>
      <c r="AB23" s="1097"/>
      <c r="AC23" s="1096"/>
    </row>
    <row r="24" spans="1:40">
      <c r="A24" s="1082">
        <v>42570</v>
      </c>
      <c r="B24" s="1081">
        <v>1192.1861628738925</v>
      </c>
      <c r="C24" s="1081">
        <v>16.05078125</v>
      </c>
      <c r="D24" s="1081">
        <v>25.736328125</v>
      </c>
      <c r="E24" s="1081">
        <v>20572.604416466827</v>
      </c>
      <c r="F24" s="1081">
        <v>980.7578125</v>
      </c>
      <c r="G24" s="1081">
        <v>0</v>
      </c>
      <c r="H24" s="1081">
        <v>0</v>
      </c>
      <c r="I24" s="1081">
        <v>39.609375</v>
      </c>
      <c r="J24" s="1081">
        <v>2159.953125</v>
      </c>
      <c r="K24" s="1081">
        <v>4.33984375</v>
      </c>
      <c r="L24" s="1081">
        <v>138.78125</v>
      </c>
      <c r="M24" s="1058">
        <f t="shared" ref="M24:M36" si="3">MONTH(A24)</f>
        <v>7</v>
      </c>
      <c r="N24" s="1084">
        <v>1139.79</v>
      </c>
      <c r="O24" s="1084">
        <v>0.71</v>
      </c>
      <c r="P24" s="1084">
        <v>1006.38</v>
      </c>
      <c r="Q24" s="1084">
        <v>0</v>
      </c>
      <c r="R24" s="1084">
        <v>138.31739999999107</v>
      </c>
      <c r="S24" s="1085"/>
      <c r="T24" s="1085"/>
      <c r="U24" s="1085"/>
      <c r="V24" s="1085"/>
      <c r="W24" s="1085"/>
      <c r="X24" s="1086"/>
      <c r="Y24" s="1086"/>
      <c r="Z24" s="1087"/>
      <c r="AA24" s="1087"/>
      <c r="AB24" s="1088">
        <v>69.379441999999997</v>
      </c>
    </row>
    <row r="25" spans="1:40">
      <c r="A25" s="1082">
        <v>42571</v>
      </c>
      <c r="B25" s="1081">
        <v>1314.8832878183989</v>
      </c>
      <c r="C25" s="1081">
        <v>15.5390625</v>
      </c>
      <c r="D25" s="1081">
        <v>25.08984375</v>
      </c>
      <c r="E25" s="1081">
        <v>20055.830335731418</v>
      </c>
      <c r="F25" s="1081">
        <v>941.67578125</v>
      </c>
      <c r="G25" s="1081">
        <v>0</v>
      </c>
      <c r="H25" s="1081">
        <v>0</v>
      </c>
      <c r="I25" s="1081">
        <v>69.59375</v>
      </c>
      <c r="J25" s="1081">
        <v>2299.40234375</v>
      </c>
      <c r="K25" s="1081">
        <v>11.23828125</v>
      </c>
      <c r="L25" s="1081">
        <v>142.4921875</v>
      </c>
      <c r="M25" s="1058">
        <f t="shared" si="3"/>
        <v>7</v>
      </c>
      <c r="N25" s="1084">
        <v>1259.52</v>
      </c>
      <c r="O25" s="1084">
        <v>0.06</v>
      </c>
      <c r="P25" s="1084">
        <v>969.62</v>
      </c>
      <c r="Q25" s="1084">
        <v>0</v>
      </c>
      <c r="R25" s="1084">
        <v>150.1344200000018</v>
      </c>
      <c r="S25" s="1085"/>
      <c r="T25" s="1085"/>
      <c r="U25" s="1085"/>
      <c r="V25" s="1085"/>
      <c r="W25" s="1085"/>
      <c r="X25" s="1086"/>
      <c r="Y25" s="1086"/>
      <c r="Z25" s="1087"/>
      <c r="AA25" s="1087"/>
      <c r="AB25" s="1088">
        <v>103.527422</v>
      </c>
    </row>
    <row r="26" spans="1:40">
      <c r="A26" s="1082">
        <v>42572</v>
      </c>
      <c r="B26" s="1081">
        <v>1333.7478693648859</v>
      </c>
      <c r="C26" s="1081">
        <v>15.216796875</v>
      </c>
      <c r="D26" s="1081">
        <v>23.193359375</v>
      </c>
      <c r="E26" s="1081">
        <v>18539.855615507593</v>
      </c>
      <c r="F26" s="1081">
        <v>1106.8671875</v>
      </c>
      <c r="G26" s="1081">
        <v>0</v>
      </c>
      <c r="H26" s="1081">
        <v>0</v>
      </c>
      <c r="I26" s="1081">
        <v>62.375</v>
      </c>
      <c r="J26" s="1081">
        <v>2348.28515625</v>
      </c>
      <c r="K26" s="1081">
        <v>15.056640625</v>
      </c>
      <c r="L26" s="1081">
        <v>142.6953125</v>
      </c>
      <c r="M26" s="1058">
        <f t="shared" si="3"/>
        <v>7</v>
      </c>
      <c r="N26" s="1084">
        <v>1272.02</v>
      </c>
      <c r="O26" s="1084">
        <v>0.31</v>
      </c>
      <c r="P26" s="1084">
        <v>1134</v>
      </c>
      <c r="Q26" s="1084">
        <v>0</v>
      </c>
      <c r="R26" s="1084">
        <v>138.74898000000417</v>
      </c>
      <c r="S26" s="1085"/>
      <c r="T26" s="1085"/>
      <c r="U26" s="1085"/>
      <c r="V26" s="1085"/>
      <c r="W26" s="1085"/>
      <c r="X26" s="1086"/>
      <c r="Y26" s="1086"/>
      <c r="Z26" s="1087"/>
      <c r="AA26" s="1087"/>
      <c r="AB26" s="1088">
        <v>105.57583000000001</v>
      </c>
    </row>
    <row r="27" spans="1:40">
      <c r="A27" s="1082">
        <v>42573</v>
      </c>
      <c r="B27" s="1081">
        <v>1338.7898224035334</v>
      </c>
      <c r="C27" s="1081">
        <v>15.51171875</v>
      </c>
      <c r="D27" s="1081">
        <v>23.587890625</v>
      </c>
      <c r="E27" s="1081">
        <v>18855.228317346126</v>
      </c>
      <c r="F27" s="1081">
        <v>432.6484375</v>
      </c>
      <c r="G27" s="1081">
        <v>0</v>
      </c>
      <c r="H27" s="1081">
        <v>0</v>
      </c>
      <c r="I27" s="1081">
        <v>77.53125</v>
      </c>
      <c r="J27" s="1081">
        <v>1947.50390625</v>
      </c>
      <c r="K27" s="1081">
        <v>15.431640625</v>
      </c>
      <c r="L27" s="1081">
        <v>142.421875</v>
      </c>
      <c r="M27" s="1058">
        <f t="shared" si="3"/>
        <v>7</v>
      </c>
      <c r="N27" s="1084">
        <v>1279.5899999999999</v>
      </c>
      <c r="O27" s="1084">
        <v>0.77</v>
      </c>
      <c r="P27" s="1084">
        <v>389.77</v>
      </c>
      <c r="Q27" s="1084">
        <v>0</v>
      </c>
      <c r="R27" s="1084">
        <v>143.761</v>
      </c>
      <c r="S27" s="1085"/>
      <c r="T27" s="1085"/>
      <c r="U27" s="1085"/>
      <c r="V27" s="1085"/>
      <c r="W27" s="1085"/>
      <c r="X27" s="1086"/>
      <c r="Y27" s="1086"/>
      <c r="Z27" s="1087"/>
      <c r="AA27" s="1087"/>
      <c r="AB27" s="1088">
        <v>104.857218</v>
      </c>
    </row>
    <row r="28" spans="1:40">
      <c r="A28" s="1082">
        <v>42574</v>
      </c>
      <c r="B28" s="1081">
        <v>1322.8540992137948</v>
      </c>
      <c r="C28" s="1081">
        <v>15.103515625</v>
      </c>
      <c r="D28" s="1081">
        <v>23.5625</v>
      </c>
      <c r="E28" s="1081">
        <v>18834.932054356519</v>
      </c>
      <c r="F28" s="1081">
        <v>925.09375</v>
      </c>
      <c r="G28" s="1081">
        <v>0</v>
      </c>
      <c r="H28" s="1081">
        <v>0</v>
      </c>
      <c r="I28" s="1081">
        <v>51.6796875</v>
      </c>
      <c r="J28" s="1081">
        <v>3080.28125</v>
      </c>
      <c r="K28" s="1081">
        <v>10.6484375</v>
      </c>
      <c r="L28" s="1081">
        <v>141.828125</v>
      </c>
      <c r="M28" s="1058">
        <f t="shared" si="3"/>
        <v>7</v>
      </c>
      <c r="N28" s="1084">
        <v>1273.04</v>
      </c>
      <c r="O28" s="1084">
        <v>0.72</v>
      </c>
      <c r="P28" s="1084">
        <v>943.07</v>
      </c>
      <c r="Q28" s="1084">
        <v>0</v>
      </c>
      <c r="R28" s="1084">
        <v>141.62899999999999</v>
      </c>
      <c r="S28" s="1085"/>
      <c r="T28" s="1085"/>
      <c r="U28" s="1085"/>
      <c r="V28" s="1085"/>
      <c r="W28" s="1085"/>
      <c r="X28" s="1086"/>
      <c r="Y28" s="1086"/>
      <c r="Z28" s="1087"/>
      <c r="AA28" s="1087"/>
      <c r="AB28" s="1088">
        <v>104.04423199999999</v>
      </c>
    </row>
    <row r="29" spans="1:40">
      <c r="A29" s="1082">
        <v>42575</v>
      </c>
      <c r="B29" s="1081">
        <v>1323.9890117231125</v>
      </c>
      <c r="C29" s="1081">
        <v>14.537109375</v>
      </c>
      <c r="D29" s="1081">
        <v>23.236328125</v>
      </c>
      <c r="E29" s="1081">
        <v>18574.203137490011</v>
      </c>
      <c r="F29" s="1081">
        <v>95.4921875</v>
      </c>
      <c r="G29" s="1081">
        <v>0</v>
      </c>
      <c r="H29" s="1081">
        <v>0</v>
      </c>
      <c r="I29" s="1081">
        <v>80.46875</v>
      </c>
      <c r="J29" s="1081">
        <v>2479.6640625</v>
      </c>
      <c r="K29" s="1081">
        <v>8.12109375</v>
      </c>
      <c r="L29" s="1081">
        <v>141.8046875</v>
      </c>
      <c r="M29" s="1058">
        <f t="shared" si="3"/>
        <v>7</v>
      </c>
      <c r="N29" s="1084">
        <v>1267.6199999999999</v>
      </c>
      <c r="O29" s="1084">
        <v>0</v>
      </c>
      <c r="P29" s="1084">
        <v>25.81</v>
      </c>
      <c r="Q29" s="1084">
        <v>0</v>
      </c>
      <c r="R29" s="1084">
        <v>141.6</v>
      </c>
      <c r="S29" s="1085"/>
      <c r="T29" s="1085"/>
      <c r="U29" s="1085"/>
      <c r="V29" s="1085"/>
      <c r="W29" s="1085"/>
      <c r="X29" s="1086"/>
      <c r="Y29" s="1086"/>
      <c r="Z29" s="1087"/>
      <c r="AA29" s="1087"/>
      <c r="AB29" s="1088">
        <v>104.158936</v>
      </c>
      <c r="AD29" s="1072"/>
      <c r="AE29" s="1072"/>
      <c r="AF29" s="1072"/>
      <c r="AG29" s="1072"/>
      <c r="AH29" s="1072"/>
      <c r="AI29" s="1072"/>
      <c r="AJ29" s="1072"/>
      <c r="AK29" s="1072"/>
      <c r="AL29" s="1072"/>
      <c r="AM29" s="1072"/>
      <c r="AN29" s="1073"/>
    </row>
    <row r="30" spans="1:40">
      <c r="A30" s="1082">
        <v>42576</v>
      </c>
      <c r="B30" s="1081"/>
      <c r="C30" s="1081"/>
      <c r="D30" s="1081"/>
      <c r="E30" s="1099"/>
      <c r="F30" s="1081"/>
      <c r="G30" s="1081"/>
      <c r="H30" s="1081"/>
      <c r="I30" s="1081"/>
      <c r="J30" s="1081"/>
      <c r="K30" s="1081"/>
      <c r="L30" s="1081"/>
      <c r="M30" s="1058">
        <f t="shared" si="3"/>
        <v>7</v>
      </c>
      <c r="N30" s="1084"/>
      <c r="O30" s="1084"/>
      <c r="P30" s="1084"/>
      <c r="Q30" s="1084"/>
      <c r="R30" s="1084"/>
      <c r="S30" s="1085"/>
      <c r="T30" s="1085"/>
      <c r="U30" s="1085"/>
      <c r="V30" s="1085"/>
      <c r="W30" s="1085"/>
      <c r="X30" s="1086"/>
      <c r="Y30" s="1086"/>
      <c r="Z30" s="1087"/>
      <c r="AA30" s="1087"/>
      <c r="AB30" s="1088"/>
      <c r="AD30" s="1092"/>
      <c r="AE30" s="1092"/>
      <c r="AF30" s="1092"/>
      <c r="AG30" s="1092"/>
      <c r="AH30" s="1092"/>
      <c r="AI30" s="1092"/>
      <c r="AJ30" s="1092"/>
      <c r="AK30" s="1092"/>
      <c r="AL30" s="1092"/>
      <c r="AM30" s="1092"/>
      <c r="AN30" s="1092"/>
    </row>
    <row r="31" spans="1:40">
      <c r="A31" s="1082">
        <v>42577</v>
      </c>
      <c r="B31" s="1081"/>
      <c r="C31" s="1081"/>
      <c r="D31" s="1081"/>
      <c r="E31" s="1081"/>
      <c r="F31" s="1081"/>
      <c r="G31" s="1081"/>
      <c r="H31" s="1081"/>
      <c r="I31" s="1081"/>
      <c r="J31" s="1081"/>
      <c r="K31" s="1081"/>
      <c r="L31" s="1081"/>
      <c r="M31" s="1058">
        <f t="shared" si="3"/>
        <v>7</v>
      </c>
      <c r="N31" s="1084"/>
      <c r="O31" s="1084"/>
      <c r="P31" s="1084"/>
      <c r="Q31" s="1084"/>
      <c r="R31" s="1084"/>
      <c r="S31" s="1085"/>
      <c r="T31" s="1085"/>
      <c r="U31" s="1085"/>
      <c r="V31" s="1085"/>
      <c r="W31" s="1085"/>
      <c r="X31" s="1086"/>
      <c r="Y31" s="1086"/>
      <c r="Z31" s="1087"/>
      <c r="AA31" s="1087"/>
      <c r="AB31" s="1088"/>
      <c r="AD31" s="1092"/>
      <c r="AE31" s="1092"/>
      <c r="AF31" s="1092"/>
      <c r="AG31" s="1092"/>
      <c r="AH31" s="1092"/>
      <c r="AI31" s="1092"/>
      <c r="AJ31" s="1092"/>
      <c r="AK31" s="1092"/>
      <c r="AL31" s="1092"/>
      <c r="AM31" s="1092"/>
      <c r="AN31" s="1092"/>
    </row>
    <row r="32" spans="1:40">
      <c r="A32" s="1082">
        <v>42578</v>
      </c>
      <c r="B32" s="1081"/>
      <c r="C32" s="1081"/>
      <c r="D32" s="1081"/>
      <c r="E32" s="1081"/>
      <c r="F32" s="1081"/>
      <c r="G32" s="1081"/>
      <c r="H32" s="1081"/>
      <c r="I32" s="1081"/>
      <c r="J32" s="1081"/>
      <c r="K32" s="1081"/>
      <c r="L32" s="1081"/>
      <c r="M32" s="1058">
        <f t="shared" si="3"/>
        <v>7</v>
      </c>
      <c r="N32" s="1084"/>
      <c r="O32" s="1084"/>
      <c r="P32" s="1084"/>
      <c r="Q32" s="1084"/>
      <c r="R32" s="1084"/>
      <c r="S32" s="1085"/>
      <c r="T32" s="1085"/>
      <c r="U32" s="1085"/>
      <c r="V32" s="1085"/>
      <c r="W32" s="1085"/>
      <c r="X32" s="1086"/>
      <c r="Y32" s="1086"/>
      <c r="Z32" s="1087"/>
      <c r="AA32" s="1087"/>
      <c r="AB32" s="1088"/>
      <c r="AD32" s="1092"/>
      <c r="AE32" s="1092"/>
      <c r="AF32" s="1092"/>
      <c r="AG32" s="1092"/>
      <c r="AH32" s="1092"/>
      <c r="AI32" s="1092"/>
      <c r="AJ32" s="1092"/>
      <c r="AK32" s="1092"/>
      <c r="AL32" s="1092"/>
      <c r="AM32" s="1092"/>
      <c r="AN32" s="1092"/>
    </row>
    <row r="33" spans="1:40">
      <c r="A33" s="1082">
        <v>42579</v>
      </c>
      <c r="B33" s="1081"/>
      <c r="C33" s="1081"/>
      <c r="D33" s="1081"/>
      <c r="E33" s="1081"/>
      <c r="F33" s="1081"/>
      <c r="G33" s="1081"/>
      <c r="H33" s="1081"/>
      <c r="I33" s="1081"/>
      <c r="J33" s="1081"/>
      <c r="K33" s="1081"/>
      <c r="L33" s="1081"/>
      <c r="M33" s="1058">
        <f t="shared" si="3"/>
        <v>7</v>
      </c>
      <c r="N33" s="1084"/>
      <c r="O33" s="1084"/>
      <c r="P33" s="1084"/>
      <c r="Q33" s="1084"/>
      <c r="R33" s="1084"/>
      <c r="S33" s="1085"/>
      <c r="T33" s="1085"/>
      <c r="U33" s="1085"/>
      <c r="V33" s="1085"/>
      <c r="W33" s="1085"/>
      <c r="X33" s="1086"/>
      <c r="Y33" s="1086"/>
      <c r="Z33" s="1087"/>
      <c r="AA33" s="1087"/>
      <c r="AB33" s="1088"/>
      <c r="AD33" s="1092"/>
      <c r="AE33" s="1092"/>
      <c r="AF33" s="1092"/>
      <c r="AG33" s="1092"/>
      <c r="AH33" s="1092"/>
      <c r="AI33" s="1092"/>
      <c r="AJ33" s="1092"/>
      <c r="AK33" s="1092"/>
      <c r="AL33" s="1092"/>
      <c r="AM33" s="1092"/>
      <c r="AN33" s="1092"/>
    </row>
    <row r="34" spans="1:40">
      <c r="A34" s="1082">
        <v>42580</v>
      </c>
      <c r="B34" s="1081"/>
      <c r="C34" s="1081"/>
      <c r="D34" s="1081"/>
      <c r="E34" s="1081"/>
      <c r="F34" s="1081"/>
      <c r="G34" s="1081"/>
      <c r="H34" s="1081"/>
      <c r="I34" s="1081"/>
      <c r="J34" s="1081"/>
      <c r="K34" s="1081"/>
      <c r="L34" s="1081"/>
      <c r="M34" s="1058">
        <f t="shared" si="3"/>
        <v>7</v>
      </c>
      <c r="N34" s="1084"/>
      <c r="O34" s="1084"/>
      <c r="P34" s="1084"/>
      <c r="Q34" s="1084"/>
      <c r="R34" s="1084"/>
      <c r="S34" s="1085"/>
      <c r="T34" s="1085"/>
      <c r="U34" s="1085"/>
      <c r="V34" s="1085"/>
      <c r="W34" s="1085"/>
      <c r="X34" s="1086"/>
      <c r="Y34" s="1086"/>
      <c r="Z34" s="1087"/>
      <c r="AA34" s="1087"/>
      <c r="AB34" s="1088"/>
      <c r="AD34" s="1092"/>
      <c r="AE34" s="1092"/>
      <c r="AF34" s="1092"/>
      <c r="AG34" s="1092"/>
      <c r="AH34" s="1092"/>
      <c r="AI34" s="1092"/>
      <c r="AJ34" s="1092"/>
      <c r="AK34" s="1092"/>
      <c r="AL34" s="1092"/>
      <c r="AM34" s="1092"/>
      <c r="AN34" s="1092"/>
    </row>
    <row r="35" spans="1:40">
      <c r="A35" s="1082">
        <v>42581</v>
      </c>
      <c r="B35" s="1081"/>
      <c r="C35" s="1081"/>
      <c r="D35" s="1081"/>
      <c r="E35" s="1081"/>
      <c r="F35" s="1081"/>
      <c r="G35" s="1081"/>
      <c r="H35" s="1081"/>
      <c r="I35" s="1081"/>
      <c r="J35" s="1081"/>
      <c r="K35" s="1081"/>
      <c r="L35" s="1081"/>
      <c r="M35" s="1058">
        <f t="shared" si="3"/>
        <v>7</v>
      </c>
      <c r="N35" s="1084"/>
      <c r="O35" s="1084"/>
      <c r="P35" s="1084"/>
      <c r="Q35" s="1084"/>
      <c r="R35" s="1084"/>
      <c r="S35" s="1085"/>
      <c r="T35" s="1085"/>
      <c r="U35" s="1085"/>
      <c r="V35" s="1085"/>
      <c r="W35" s="1085"/>
      <c r="X35" s="1086"/>
      <c r="Y35" s="1086"/>
      <c r="Z35" s="1087"/>
      <c r="AA35" s="1087"/>
      <c r="AB35" s="1088"/>
      <c r="AD35" s="1092"/>
      <c r="AE35" s="1092"/>
    </row>
    <row r="36" spans="1:40">
      <c r="A36" s="1082">
        <v>42582</v>
      </c>
      <c r="B36" s="1081"/>
      <c r="C36" s="1081"/>
      <c r="D36" s="1081"/>
      <c r="E36" s="1081"/>
      <c r="F36" s="1081"/>
      <c r="G36" s="1081"/>
      <c r="H36" s="1081"/>
      <c r="I36" s="1081"/>
      <c r="J36" s="1081"/>
      <c r="K36" s="1081"/>
      <c r="L36" s="1081"/>
      <c r="M36" s="1058">
        <f t="shared" si="3"/>
        <v>7</v>
      </c>
      <c r="N36" s="1084"/>
      <c r="O36" s="1084"/>
      <c r="P36" s="1084"/>
      <c r="Q36" s="1084"/>
      <c r="R36" s="1084"/>
      <c r="S36" s="1085"/>
      <c r="T36" s="1085"/>
      <c r="U36" s="1085"/>
      <c r="V36" s="1085"/>
      <c r="W36" s="1085"/>
      <c r="X36" s="1086"/>
      <c r="Y36" s="1086"/>
      <c r="Z36" s="1087"/>
      <c r="AA36" s="1087"/>
      <c r="AB36" s="1088"/>
      <c r="AD36" s="1092"/>
      <c r="AE36" s="1092"/>
    </row>
    <row r="37" spans="1:40">
      <c r="A37" s="1080"/>
      <c r="B37" s="1081"/>
      <c r="C37" s="1081"/>
      <c r="D37" s="1081"/>
      <c r="E37" s="1081"/>
      <c r="F37" s="1081"/>
      <c r="G37" s="1081"/>
      <c r="H37" s="1081"/>
      <c r="I37" s="1081"/>
      <c r="J37" s="1081"/>
      <c r="K37" s="1081"/>
      <c r="L37" s="1081"/>
      <c r="M37" s="1093"/>
      <c r="AC37"/>
    </row>
    <row r="38" spans="1:40">
      <c r="A38" s="1080"/>
      <c r="B38" s="1081"/>
      <c r="C38" s="1081"/>
      <c r="D38" s="1081"/>
      <c r="E38" s="1081"/>
      <c r="F38" s="1081"/>
      <c r="G38" s="1081"/>
      <c r="H38" s="1081"/>
      <c r="I38" s="1081"/>
      <c r="J38" s="1081"/>
      <c r="K38" s="1081"/>
      <c r="L38" s="1081"/>
      <c r="M38" s="1093"/>
      <c r="AC38"/>
    </row>
    <row r="39" spans="1:40">
      <c r="A39" s="1100" t="s">
        <v>539</v>
      </c>
      <c r="B39" s="1081"/>
      <c r="C39" s="1081"/>
      <c r="D39" s="1081"/>
      <c r="E39" s="1081"/>
      <c r="F39" s="1081"/>
      <c r="G39" s="1081"/>
      <c r="H39" s="1081"/>
      <c r="I39" s="1081"/>
      <c r="J39" s="1081"/>
      <c r="K39" s="1081"/>
      <c r="L39" s="1081"/>
      <c r="M39" s="1093"/>
      <c r="AC39"/>
    </row>
    <row r="40" spans="1:40">
      <c r="A40" s="1101"/>
      <c r="B40" s="1102"/>
      <c r="C40" s="1102" t="s">
        <v>538</v>
      </c>
      <c r="D40" s="1081"/>
      <c r="E40" s="1081"/>
      <c r="F40" s="1081"/>
      <c r="G40" s="1081"/>
      <c r="H40" s="1081"/>
      <c r="I40" s="1081"/>
      <c r="J40" s="1081"/>
      <c r="K40" s="1081"/>
      <c r="L40" s="1081"/>
      <c r="M40" s="1093"/>
      <c r="AC40"/>
    </row>
    <row r="41" spans="1:40">
      <c r="A41" s="1916">
        <v>42370</v>
      </c>
      <c r="B41" s="1916"/>
      <c r="C41" s="1103">
        <v>19.890071868896484</v>
      </c>
      <c r="D41" s="1081"/>
      <c r="E41" s="1081"/>
      <c r="F41" s="1081"/>
      <c r="G41" s="1081"/>
      <c r="H41" s="1081"/>
      <c r="I41" s="1081"/>
      <c r="J41" s="1081"/>
      <c r="K41" s="1081"/>
      <c r="L41" s="1081"/>
      <c r="M41" s="1093"/>
      <c r="AC41"/>
    </row>
    <row r="42" spans="1:40">
      <c r="A42" s="1916">
        <v>42401</v>
      </c>
      <c r="B42" s="1916"/>
      <c r="C42" s="1103">
        <v>17.889644622802734</v>
      </c>
      <c r="D42" s="1081"/>
      <c r="E42" s="1081"/>
      <c r="F42" s="1081"/>
      <c r="G42" s="1081"/>
      <c r="H42" s="1081"/>
      <c r="I42" s="1081"/>
      <c r="J42" s="1081"/>
      <c r="K42" s="1081"/>
      <c r="L42" s="1081"/>
      <c r="M42" s="1093"/>
      <c r="AC42"/>
    </row>
    <row r="43" spans="1:40">
      <c r="A43" s="1916">
        <v>42430</v>
      </c>
      <c r="B43" s="1916"/>
      <c r="C43" s="1103">
        <v>5.6573357582092285</v>
      </c>
      <c r="D43" s="1081"/>
      <c r="E43" s="1081"/>
      <c r="F43" s="1081"/>
      <c r="G43" s="1081"/>
      <c r="H43" s="1081"/>
      <c r="I43" s="1081"/>
      <c r="J43" s="1081"/>
      <c r="K43" s="1081"/>
      <c r="L43" s="1081"/>
      <c r="M43" s="1093"/>
      <c r="AC43"/>
    </row>
    <row r="44" spans="1:40">
      <c r="A44" s="1916">
        <v>42461</v>
      </c>
      <c r="B44" s="1916"/>
      <c r="C44" s="1103">
        <v>4.4633784294128418</v>
      </c>
      <c r="D44" s="1081"/>
      <c r="E44" s="1081"/>
      <c r="F44" s="1081"/>
      <c r="G44" s="1081"/>
      <c r="H44" s="1081"/>
      <c r="I44" s="1081"/>
      <c r="J44" s="1081"/>
      <c r="K44" s="1081"/>
      <c r="L44" s="1081"/>
      <c r="M44" s="1093"/>
      <c r="AC44"/>
    </row>
    <row r="45" spans="1:40">
      <c r="A45" s="1916">
        <v>42491</v>
      </c>
      <c r="B45" s="1916"/>
      <c r="C45" s="1103">
        <v>4.7436442375183105</v>
      </c>
      <c r="D45" s="1081"/>
      <c r="E45" s="1081"/>
      <c r="F45" s="1081"/>
      <c r="G45" s="1081"/>
      <c r="H45" s="1081"/>
      <c r="I45" s="1081"/>
      <c r="J45" s="1081"/>
      <c r="K45" s="1081"/>
      <c r="L45" s="1081"/>
      <c r="M45" s="1093"/>
      <c r="AC45"/>
    </row>
    <row r="46" spans="1:40">
      <c r="A46" s="1916">
        <v>42522</v>
      </c>
      <c r="B46" s="1916"/>
      <c r="C46" s="1103">
        <v>6.5353589057922363</v>
      </c>
      <c r="D46" s="1081"/>
      <c r="E46" s="1081"/>
      <c r="F46" s="1081"/>
      <c r="G46" s="1081"/>
      <c r="H46" s="1081"/>
      <c r="I46" s="1081"/>
      <c r="J46" s="1081"/>
      <c r="K46" s="1081"/>
      <c r="L46" s="1081"/>
      <c r="M46" s="1093"/>
      <c r="AC46"/>
    </row>
    <row r="47" spans="1:40">
      <c r="A47" s="1916">
        <v>42552</v>
      </c>
      <c r="B47" s="1916"/>
      <c r="C47" s="1103">
        <v>49.672122955322266</v>
      </c>
      <c r="D47" s="1081"/>
      <c r="E47" s="1081"/>
      <c r="F47" s="1081"/>
      <c r="G47" s="1081"/>
      <c r="H47" s="1081"/>
      <c r="I47" s="1081"/>
      <c r="J47" s="1081"/>
      <c r="K47" s="1081"/>
      <c r="L47" s="1081"/>
      <c r="M47" s="1093"/>
      <c r="AC47"/>
    </row>
    <row r="48" spans="1:40">
      <c r="A48" s="1916">
        <v>42583</v>
      </c>
      <c r="B48" s="1916"/>
      <c r="C48" s="1103">
        <v>70.829360961914063</v>
      </c>
      <c r="D48" s="1081"/>
      <c r="E48" s="1081"/>
      <c r="F48" s="1081"/>
      <c r="G48" s="1081"/>
      <c r="H48" s="1081"/>
      <c r="I48" s="1081"/>
      <c r="J48" s="1081"/>
      <c r="K48" s="1081"/>
      <c r="L48" s="1081"/>
      <c r="M48" s="1093"/>
      <c r="AC48"/>
    </row>
    <row r="49" spans="1:29">
      <c r="A49" s="1080"/>
      <c r="B49" s="1081"/>
      <c r="C49" s="1081"/>
      <c r="D49" s="1081"/>
      <c r="E49" s="1081"/>
      <c r="F49" s="1081"/>
      <c r="G49" s="1081"/>
      <c r="H49" s="1081"/>
      <c r="I49" s="1081"/>
      <c r="J49" s="1081"/>
      <c r="K49" s="1081"/>
      <c r="L49" s="1081"/>
      <c r="M49" s="1093"/>
      <c r="AC49"/>
    </row>
    <row r="50" spans="1:29" s="1105" customFormat="1">
      <c r="A50" s="1106" t="s">
        <v>547</v>
      </c>
      <c r="B50" s="1107"/>
      <c r="C50" s="1107"/>
      <c r="D50" s="1107"/>
      <c r="E50" s="1107"/>
    </row>
    <row r="51" spans="1:29" s="1104" customFormat="1">
      <c r="A51" s="1913"/>
      <c r="B51" s="1913" t="s">
        <v>546</v>
      </c>
      <c r="C51" s="1913"/>
      <c r="D51" s="1914" t="s">
        <v>545</v>
      </c>
      <c r="E51" s="1914" t="s">
        <v>544</v>
      </c>
    </row>
    <row r="52" spans="1:29" s="1104" customFormat="1">
      <c r="A52" s="1913"/>
      <c r="B52" s="1108" t="s">
        <v>49</v>
      </c>
      <c r="C52" s="1108" t="s">
        <v>50</v>
      </c>
      <c r="D52" s="1914"/>
      <c r="E52" s="1914"/>
    </row>
    <row r="53" spans="1:29" s="1104" customFormat="1">
      <c r="A53" s="1109" t="s">
        <v>543</v>
      </c>
      <c r="B53" s="1110"/>
      <c r="C53" s="1110"/>
      <c r="D53" s="1110"/>
      <c r="E53" s="1110"/>
    </row>
    <row r="54" spans="1:29" s="1104" customFormat="1">
      <c r="A54" s="1111" t="s">
        <v>542</v>
      </c>
      <c r="B54" s="1112"/>
      <c r="C54" s="1112">
        <v>16.5</v>
      </c>
      <c r="D54" s="1112">
        <v>27000</v>
      </c>
      <c r="E54" s="1113">
        <f>SUM(B54:C54)*D54</f>
        <v>445500</v>
      </c>
    </row>
    <row r="55" spans="1:29" s="1104" customFormat="1">
      <c r="A55" s="1114" t="s">
        <v>541</v>
      </c>
      <c r="B55" s="1115"/>
      <c r="C55" s="1115">
        <v>9.4</v>
      </c>
      <c r="D55" s="1115">
        <v>19000</v>
      </c>
      <c r="E55" s="1116">
        <f>SUM(B55:C55)*D55</f>
        <v>178600</v>
      </c>
    </row>
    <row r="56" spans="1:29" s="1104" customFormat="1">
      <c r="A56" s="1117" t="s">
        <v>540</v>
      </c>
      <c r="B56" s="1110"/>
      <c r="C56" s="1110"/>
      <c r="D56" s="1110"/>
      <c r="E56" s="1118"/>
    </row>
    <row r="57" spans="1:29" s="1104" customFormat="1">
      <c r="A57" s="1111" t="s">
        <v>32</v>
      </c>
      <c r="B57" s="1112">
        <v>2777.5999999999767</v>
      </c>
      <c r="C57" s="1112">
        <v>9941.4825000000001</v>
      </c>
      <c r="D57" s="1112">
        <v>920</v>
      </c>
      <c r="E57" s="1113">
        <f t="shared" ref="E57:E62" si="4">SUM(B57:C57)*D57</f>
        <v>11701555.899999978</v>
      </c>
    </row>
    <row r="58" spans="1:29" s="1104" customFormat="1">
      <c r="A58" s="1119" t="s">
        <v>33</v>
      </c>
      <c r="B58" s="1120">
        <v>56.520000000000437</v>
      </c>
      <c r="C58" s="1120">
        <v>43.92</v>
      </c>
      <c r="D58" s="1120">
        <v>910</v>
      </c>
      <c r="E58" s="1121">
        <f t="shared" si="4"/>
        <v>91400.400000000402</v>
      </c>
    </row>
    <row r="59" spans="1:29" s="1104" customFormat="1">
      <c r="A59" s="1119" t="s">
        <v>34</v>
      </c>
      <c r="B59" s="1120">
        <v>1228.3400000000001</v>
      </c>
      <c r="C59" s="1120">
        <v>1674.3925000000002</v>
      </c>
      <c r="D59" s="1120">
        <v>58</v>
      </c>
      <c r="E59" s="1121">
        <f t="shared" si="4"/>
        <v>168358.48500000002</v>
      </c>
    </row>
    <row r="60" spans="1:29" s="1104" customFormat="1">
      <c r="A60" s="1119" t="s">
        <v>35</v>
      </c>
      <c r="B60" s="1120">
        <v>535.46370793016797</v>
      </c>
      <c r="C60" s="1120">
        <v>12214.328406322606</v>
      </c>
      <c r="D60" s="1120">
        <v>24</v>
      </c>
      <c r="E60" s="1121">
        <f t="shared" si="4"/>
        <v>305995.01074206654</v>
      </c>
    </row>
    <row r="61" spans="1:29" s="1104" customFormat="1">
      <c r="A61" s="1119" t="s">
        <v>37</v>
      </c>
      <c r="B61" s="1120">
        <v>193476.46882494012</v>
      </c>
      <c r="C61" s="1120">
        <v>185609.91050909276</v>
      </c>
      <c r="D61" s="1120">
        <v>2</v>
      </c>
      <c r="E61" s="1121">
        <f t="shared" si="4"/>
        <v>758172.75866806577</v>
      </c>
    </row>
    <row r="62" spans="1:29" s="1104" customFormat="1">
      <c r="A62" s="1114" t="s">
        <v>525</v>
      </c>
      <c r="B62" s="1115">
        <v>712093.59999999404</v>
      </c>
      <c r="C62" s="1115">
        <v>1542675.26250001</v>
      </c>
      <c r="D62" s="1115">
        <v>3.3</v>
      </c>
      <c r="E62" s="1116">
        <f t="shared" si="4"/>
        <v>7440737.2462500129</v>
      </c>
    </row>
    <row r="63" spans="1:29" s="1104" customFormat="1">
      <c r="A63" s="1101"/>
      <c r="B63" s="1101"/>
      <c r="C63" s="1101"/>
      <c r="D63" s="1122" t="s">
        <v>106</v>
      </c>
      <c r="E63" s="1123">
        <f>SUM(E54:E62)</f>
        <v>21090319.800660122</v>
      </c>
    </row>
    <row r="64" spans="1:29">
      <c r="A64" s="1080"/>
      <c r="B64" s="1081"/>
      <c r="C64" s="1081"/>
      <c r="D64" s="1081"/>
      <c r="E64" s="1081"/>
      <c r="F64" s="1081"/>
      <c r="G64" s="1081"/>
      <c r="H64" s="1081"/>
      <c r="I64" s="1081"/>
      <c r="J64" s="1081"/>
      <c r="K64" s="1081"/>
      <c r="L64" s="1081"/>
      <c r="M64" s="1093"/>
      <c r="X64"/>
      <c r="Y64"/>
      <c r="Z64"/>
      <c r="AA64"/>
      <c r="AB64"/>
      <c r="AC64"/>
    </row>
    <row r="65" spans="1:29">
      <c r="A65" s="1080"/>
      <c r="B65" s="1081"/>
      <c r="C65" s="1081"/>
      <c r="D65" s="1081"/>
      <c r="E65" s="1081"/>
      <c r="F65" s="1081"/>
      <c r="G65" s="1081"/>
      <c r="H65" s="1081"/>
      <c r="I65" s="1081"/>
      <c r="J65" s="1081"/>
      <c r="K65" s="1081"/>
      <c r="L65" s="1081"/>
      <c r="M65" s="1093"/>
      <c r="X65"/>
      <c r="Y65"/>
      <c r="Z65"/>
      <c r="AA65"/>
      <c r="AB65"/>
      <c r="AC65"/>
    </row>
    <row r="66" spans="1:29">
      <c r="A66" s="1080"/>
      <c r="B66" s="1081"/>
      <c r="C66" s="1081"/>
      <c r="D66" s="1081"/>
      <c r="E66" s="1081"/>
      <c r="F66" s="1081"/>
      <c r="G66" s="1081"/>
      <c r="H66" s="1081"/>
      <c r="I66" s="1081"/>
      <c r="J66" s="1081"/>
      <c r="K66" s="1081"/>
      <c r="L66" s="1081"/>
      <c r="M66" s="1093"/>
      <c r="X66"/>
      <c r="Y66"/>
      <c r="Z66"/>
      <c r="AA66"/>
      <c r="AB66"/>
      <c r="AC66"/>
    </row>
    <row r="67" spans="1:29">
      <c r="A67" s="1080"/>
      <c r="B67" s="1081"/>
      <c r="C67" s="1081"/>
      <c r="D67" s="1081"/>
      <c r="E67" s="1081"/>
      <c r="F67" s="1081"/>
      <c r="G67" s="1081"/>
      <c r="H67" s="1081"/>
      <c r="I67" s="1081"/>
      <c r="J67" s="1081"/>
      <c r="K67" s="1081"/>
      <c r="L67" s="1081"/>
      <c r="M67" s="1093"/>
      <c r="X67"/>
      <c r="Y67"/>
      <c r="Z67"/>
      <c r="AA67"/>
      <c r="AB67"/>
      <c r="AC67"/>
    </row>
    <row r="68" spans="1:29">
      <c r="A68" s="1080"/>
      <c r="B68" s="1081"/>
      <c r="C68" s="1081"/>
      <c r="D68" s="1081"/>
      <c r="E68" s="1081"/>
      <c r="F68" s="1081"/>
      <c r="G68" s="1081"/>
      <c r="H68" s="1081"/>
      <c r="I68" s="1081"/>
      <c r="J68" s="1081"/>
      <c r="K68" s="1081"/>
      <c r="L68" s="1081"/>
      <c r="M68" s="1093"/>
      <c r="X68"/>
      <c r="Y68"/>
      <c r="Z68"/>
      <c r="AA68"/>
      <c r="AB68"/>
      <c r="AC68"/>
    </row>
    <row r="69" spans="1:29">
      <c r="A69" s="1080"/>
      <c r="B69" s="1081"/>
      <c r="C69" s="1081"/>
      <c r="D69" s="1081"/>
      <c r="E69" s="1081"/>
      <c r="F69" s="1081"/>
      <c r="G69" s="1081"/>
      <c r="H69" s="1081"/>
      <c r="I69" s="1081"/>
      <c r="J69" s="1081"/>
      <c r="K69" s="1081"/>
      <c r="L69" s="1081"/>
      <c r="M69" s="1093"/>
      <c r="X69"/>
      <c r="Y69"/>
      <c r="Z69"/>
      <c r="AA69"/>
      <c r="AB69"/>
      <c r="AC69"/>
    </row>
    <row r="70" spans="1:29">
      <c r="A70" s="1080"/>
      <c r="B70" s="1081"/>
      <c r="C70" s="1081"/>
      <c r="D70" s="1081"/>
      <c r="E70" s="1081"/>
      <c r="F70" s="1081"/>
      <c r="G70" s="1081"/>
      <c r="H70" s="1081"/>
      <c r="I70" s="1081"/>
      <c r="J70" s="1081"/>
      <c r="K70" s="1081"/>
      <c r="L70" s="1081"/>
      <c r="M70" s="1093"/>
      <c r="X70"/>
      <c r="Y70"/>
      <c r="Z70"/>
      <c r="AA70"/>
      <c r="AB70"/>
      <c r="AC70"/>
    </row>
    <row r="71" spans="1:29">
      <c r="A71" s="1080"/>
      <c r="B71" s="1081"/>
      <c r="C71" s="1081"/>
      <c r="D71" s="1081"/>
      <c r="E71" s="1081"/>
      <c r="F71" s="1081"/>
      <c r="G71" s="1081"/>
      <c r="H71" s="1081"/>
      <c r="I71" s="1081"/>
      <c r="J71" s="1081"/>
      <c r="K71" s="1081"/>
      <c r="L71" s="1081"/>
      <c r="M71" s="1093"/>
      <c r="X71"/>
      <c r="Y71"/>
      <c r="Z71"/>
      <c r="AA71"/>
      <c r="AB71"/>
      <c r="AC71"/>
    </row>
    <row r="72" spans="1:29">
      <c r="A72" s="1080"/>
      <c r="B72" s="1081"/>
      <c r="C72" s="1081"/>
      <c r="D72" s="1081"/>
      <c r="E72" s="1081"/>
      <c r="F72" s="1081"/>
      <c r="G72" s="1081"/>
      <c r="H72" s="1081"/>
      <c r="I72" s="1081"/>
      <c r="J72" s="1081"/>
      <c r="K72" s="1081"/>
      <c r="L72" s="1081"/>
      <c r="M72" s="1093"/>
      <c r="X72"/>
      <c r="Y72"/>
      <c r="Z72"/>
      <c r="AA72"/>
      <c r="AB72"/>
      <c r="AC72"/>
    </row>
    <row r="73" spans="1:29">
      <c r="A73" s="1080"/>
      <c r="B73" s="1081"/>
      <c r="C73" s="1081"/>
      <c r="D73" s="1081"/>
      <c r="E73" s="1081"/>
      <c r="F73" s="1081"/>
      <c r="G73" s="1081"/>
      <c r="H73" s="1081"/>
      <c r="I73" s="1081"/>
      <c r="J73" s="1081"/>
      <c r="K73" s="1081"/>
      <c r="L73" s="1081"/>
      <c r="M73" s="1093"/>
      <c r="X73"/>
      <c r="Y73"/>
      <c r="Z73"/>
      <c r="AA73"/>
      <c r="AB73"/>
      <c r="AC73"/>
    </row>
    <row r="74" spans="1:29">
      <c r="A74" s="1080"/>
      <c r="B74" s="1081"/>
      <c r="C74" s="1081"/>
      <c r="D74" s="1081"/>
      <c r="E74" s="1081"/>
      <c r="F74" s="1081"/>
      <c r="G74" s="1081"/>
      <c r="H74" s="1081"/>
      <c r="I74" s="1081"/>
      <c r="J74" s="1081"/>
      <c r="K74" s="1081"/>
      <c r="L74" s="1081"/>
      <c r="M74" s="1093"/>
      <c r="X74"/>
      <c r="Y74"/>
      <c r="Z74"/>
      <c r="AA74"/>
      <c r="AB74"/>
      <c r="AC74"/>
    </row>
    <row r="75" spans="1:29">
      <c r="A75" s="1080"/>
      <c r="B75" s="1081"/>
      <c r="C75" s="1081"/>
      <c r="D75" s="1081"/>
      <c r="E75" s="1081"/>
      <c r="F75" s="1081"/>
      <c r="G75" s="1081"/>
      <c r="H75" s="1081"/>
      <c r="I75" s="1081"/>
      <c r="J75" s="1081"/>
      <c r="K75" s="1081"/>
      <c r="L75" s="1081"/>
      <c r="M75" s="1093"/>
      <c r="X75"/>
      <c r="Y75"/>
      <c r="Z75"/>
      <c r="AA75"/>
      <c r="AB75"/>
      <c r="AC75"/>
    </row>
    <row r="76" spans="1:29">
      <c r="A76" s="1080"/>
      <c r="B76" s="1081"/>
      <c r="C76" s="1081"/>
      <c r="D76" s="1081"/>
      <c r="E76" s="1081"/>
      <c r="F76" s="1081"/>
      <c r="G76" s="1081"/>
      <c r="H76" s="1081"/>
      <c r="I76" s="1081"/>
      <c r="J76" s="1081"/>
      <c r="K76" s="1081"/>
      <c r="L76" s="1081"/>
      <c r="M76" s="1093"/>
      <c r="X76"/>
      <c r="Y76"/>
      <c r="Z76"/>
      <c r="AA76"/>
      <c r="AB76"/>
      <c r="AC76"/>
    </row>
    <row r="77" spans="1:29">
      <c r="A77" s="1080"/>
      <c r="B77" s="1081"/>
      <c r="C77" s="1081"/>
      <c r="D77" s="1081"/>
      <c r="E77" s="1081"/>
      <c r="F77" s="1081"/>
      <c r="G77" s="1081"/>
      <c r="H77" s="1081"/>
      <c r="I77" s="1081"/>
      <c r="J77" s="1081"/>
      <c r="K77" s="1081"/>
      <c r="L77" s="1081"/>
      <c r="M77" s="1093"/>
      <c r="X77"/>
      <c r="Y77"/>
      <c r="Z77"/>
      <c r="AA77"/>
      <c r="AB77"/>
      <c r="AC77"/>
    </row>
    <row r="78" spans="1:29">
      <c r="A78" s="1080"/>
      <c r="B78" s="1081"/>
      <c r="C78" s="1081"/>
      <c r="D78" s="1081"/>
      <c r="E78" s="1081"/>
      <c r="F78" s="1081"/>
      <c r="G78" s="1081"/>
      <c r="H78" s="1081"/>
      <c r="I78" s="1081"/>
      <c r="J78" s="1081"/>
      <c r="K78" s="1081"/>
      <c r="L78" s="1081"/>
      <c r="M78" s="1093"/>
      <c r="X78"/>
      <c r="Y78"/>
      <c r="Z78"/>
      <c r="AA78"/>
      <c r="AB78"/>
      <c r="AC78"/>
    </row>
    <row r="79" spans="1:29">
      <c r="A79" s="1080"/>
      <c r="B79" s="1081"/>
      <c r="C79" s="1081"/>
      <c r="D79" s="1081"/>
      <c r="E79" s="1081"/>
      <c r="F79" s="1081"/>
      <c r="G79" s="1081"/>
      <c r="H79" s="1081"/>
      <c r="I79" s="1081"/>
      <c r="J79" s="1081"/>
      <c r="K79" s="1081"/>
      <c r="L79" s="1081"/>
      <c r="M79" s="1093"/>
      <c r="X79"/>
      <c r="Y79"/>
      <c r="Z79"/>
      <c r="AA79"/>
      <c r="AB79"/>
      <c r="AC79"/>
    </row>
    <row r="80" spans="1:29">
      <c r="A80" s="1080"/>
      <c r="B80" s="1081"/>
      <c r="C80" s="1081"/>
      <c r="D80" s="1081"/>
      <c r="E80" s="1081"/>
      <c r="F80" s="1081"/>
      <c r="G80" s="1081"/>
      <c r="H80" s="1081"/>
      <c r="I80" s="1081"/>
      <c r="J80" s="1081"/>
      <c r="K80" s="1081"/>
      <c r="L80" s="1081"/>
      <c r="M80" s="1093"/>
      <c r="X80"/>
      <c r="Y80"/>
      <c r="Z80"/>
      <c r="AA80"/>
      <c r="AB80"/>
      <c r="AC80"/>
    </row>
    <row r="81" spans="1:29">
      <c r="A81" s="1080"/>
      <c r="B81" s="1081"/>
      <c r="C81" s="1081"/>
      <c r="D81" s="1081"/>
      <c r="E81" s="1081"/>
      <c r="F81" s="1081"/>
      <c r="G81" s="1081"/>
      <c r="H81" s="1081"/>
      <c r="I81" s="1081"/>
      <c r="J81" s="1081"/>
      <c r="K81" s="1081"/>
      <c r="L81" s="1081"/>
      <c r="M81" s="1093"/>
      <c r="X81"/>
      <c r="Y81"/>
      <c r="Z81"/>
      <c r="AA81"/>
      <c r="AB81"/>
      <c r="AC81"/>
    </row>
    <row r="82" spans="1:29">
      <c r="A82" s="1080"/>
      <c r="B82" s="1081"/>
      <c r="C82" s="1081"/>
      <c r="D82" s="1081"/>
      <c r="E82" s="1081"/>
      <c r="F82" s="1081"/>
      <c r="G82" s="1081"/>
      <c r="H82" s="1081"/>
      <c r="I82" s="1081"/>
      <c r="J82" s="1081"/>
      <c r="K82" s="1081"/>
      <c r="L82" s="1081"/>
      <c r="M82" s="1093"/>
      <c r="X82"/>
      <c r="Y82"/>
      <c r="Z82"/>
      <c r="AA82"/>
      <c r="AB82"/>
      <c r="AC82"/>
    </row>
    <row r="83" spans="1:29">
      <c r="A83" s="1080"/>
      <c r="B83" s="1081"/>
      <c r="C83" s="1081"/>
      <c r="D83" s="1081"/>
      <c r="E83" s="1081"/>
      <c r="F83" s="1081"/>
      <c r="G83" s="1081"/>
      <c r="H83" s="1081"/>
      <c r="I83" s="1081"/>
      <c r="J83" s="1081"/>
      <c r="K83" s="1081"/>
      <c r="L83" s="1081"/>
      <c r="M83" s="1093"/>
      <c r="X83"/>
      <c r="Y83"/>
      <c r="Z83"/>
      <c r="AA83"/>
      <c r="AB83"/>
      <c r="AC83"/>
    </row>
    <row r="84" spans="1:29">
      <c r="A84" s="1080"/>
      <c r="B84" s="1081"/>
      <c r="C84" s="1081"/>
      <c r="D84" s="1081"/>
      <c r="E84" s="1081"/>
      <c r="F84" s="1081"/>
      <c r="G84" s="1081"/>
      <c r="H84" s="1081"/>
      <c r="I84" s="1081"/>
      <c r="J84" s="1081"/>
      <c r="K84" s="1081"/>
      <c r="L84" s="1081"/>
      <c r="M84" s="1093"/>
      <c r="X84"/>
      <c r="Y84"/>
      <c r="Z84"/>
      <c r="AA84"/>
      <c r="AB84"/>
      <c r="AC84"/>
    </row>
    <row r="85" spans="1:29">
      <c r="A85" s="1080"/>
      <c r="B85" s="1081"/>
      <c r="C85" s="1081"/>
      <c r="D85" s="1081"/>
      <c r="E85" s="1081"/>
      <c r="F85" s="1081"/>
      <c r="G85" s="1081"/>
      <c r="H85" s="1081"/>
      <c r="I85" s="1081"/>
      <c r="J85" s="1081"/>
      <c r="K85" s="1081"/>
      <c r="L85" s="1081"/>
      <c r="M85" s="1093"/>
      <c r="X85"/>
      <c r="Y85"/>
      <c r="Z85"/>
      <c r="AA85"/>
      <c r="AB85"/>
      <c r="AC85"/>
    </row>
    <row r="86" spans="1:29">
      <c r="A86" s="1080"/>
      <c r="B86" s="1081"/>
      <c r="C86" s="1081"/>
      <c r="D86" s="1081"/>
      <c r="E86" s="1081"/>
      <c r="F86" s="1081"/>
      <c r="G86" s="1081"/>
      <c r="H86" s="1081"/>
      <c r="I86" s="1081"/>
      <c r="J86" s="1081"/>
      <c r="K86" s="1081"/>
      <c r="L86" s="1081"/>
      <c r="M86" s="1093"/>
      <c r="X86"/>
      <c r="Y86"/>
      <c r="Z86"/>
      <c r="AA86"/>
      <c r="AB86"/>
      <c r="AC86"/>
    </row>
    <row r="87" spans="1:29">
      <c r="A87" s="1080"/>
      <c r="B87" s="1081"/>
      <c r="C87" s="1081"/>
      <c r="D87" s="1081"/>
      <c r="E87" s="1081"/>
      <c r="F87" s="1081"/>
      <c r="G87" s="1081"/>
      <c r="H87" s="1081"/>
      <c r="I87" s="1081"/>
      <c r="J87" s="1081"/>
      <c r="K87" s="1081"/>
      <c r="L87" s="1081"/>
      <c r="M87" s="1093"/>
      <c r="X87"/>
      <c r="Y87"/>
      <c r="Z87"/>
      <c r="AA87"/>
      <c r="AB87"/>
      <c r="AC87"/>
    </row>
    <row r="88" spans="1:29">
      <c r="A88" s="1080"/>
      <c r="B88" s="1081"/>
      <c r="C88" s="1081"/>
      <c r="D88" s="1081"/>
      <c r="E88" s="1081"/>
      <c r="F88" s="1081"/>
      <c r="G88" s="1081"/>
      <c r="H88" s="1081"/>
      <c r="I88" s="1081"/>
      <c r="J88" s="1081"/>
      <c r="K88" s="1081"/>
      <c r="L88" s="1081"/>
      <c r="M88" s="1093"/>
      <c r="X88"/>
      <c r="Y88"/>
      <c r="Z88"/>
      <c r="AA88"/>
      <c r="AB88"/>
      <c r="AC88"/>
    </row>
    <row r="89" spans="1:29">
      <c r="A89" s="1080"/>
      <c r="B89" s="1081"/>
      <c r="C89" s="1081"/>
      <c r="D89" s="1081"/>
      <c r="E89" s="1081"/>
      <c r="F89" s="1081"/>
      <c r="G89" s="1081"/>
      <c r="H89" s="1081"/>
      <c r="I89" s="1081"/>
      <c r="J89" s="1081"/>
      <c r="K89" s="1081"/>
      <c r="L89" s="1081"/>
      <c r="M89" s="1093"/>
      <c r="X89"/>
      <c r="Y89"/>
      <c r="Z89"/>
      <c r="AA89"/>
      <c r="AB89"/>
      <c r="AC89"/>
    </row>
    <row r="90" spans="1:29">
      <c r="A90" s="1080"/>
      <c r="B90" s="1081"/>
      <c r="C90" s="1081"/>
      <c r="D90" s="1081"/>
      <c r="E90" s="1081"/>
      <c r="F90" s="1081"/>
      <c r="G90" s="1081"/>
      <c r="H90" s="1081"/>
      <c r="I90" s="1081"/>
      <c r="J90" s="1081"/>
      <c r="K90" s="1081"/>
      <c r="L90" s="1081"/>
      <c r="M90" s="1093"/>
      <c r="X90"/>
      <c r="Y90"/>
      <c r="Z90"/>
      <c r="AA90"/>
      <c r="AB90"/>
      <c r="AC90"/>
    </row>
    <row r="91" spans="1:29">
      <c r="A91" s="1080"/>
      <c r="B91" s="1081"/>
      <c r="C91" s="1081"/>
      <c r="D91" s="1081"/>
      <c r="E91" s="1081"/>
      <c r="F91" s="1081"/>
      <c r="G91" s="1081"/>
      <c r="H91" s="1081"/>
      <c r="I91" s="1081"/>
      <c r="J91" s="1081"/>
      <c r="K91" s="1081"/>
      <c r="L91" s="1081"/>
      <c r="M91" s="1093"/>
      <c r="X91"/>
      <c r="Y91"/>
      <c r="Z91"/>
      <c r="AA91"/>
      <c r="AB91"/>
      <c r="AC91"/>
    </row>
    <row r="92" spans="1:29">
      <c r="A92" s="1080"/>
      <c r="B92" s="1081"/>
      <c r="C92" s="1081"/>
      <c r="D92" s="1081"/>
      <c r="E92" s="1081"/>
      <c r="F92" s="1081"/>
      <c r="G92" s="1081"/>
      <c r="H92" s="1081"/>
      <c r="I92" s="1081"/>
      <c r="J92" s="1081"/>
      <c r="K92" s="1081"/>
      <c r="L92" s="1081"/>
      <c r="M92" s="1093"/>
      <c r="X92"/>
      <c r="Y92"/>
      <c r="Z92"/>
      <c r="AA92"/>
      <c r="AB92"/>
      <c r="AC92"/>
    </row>
    <row r="93" spans="1:29">
      <c r="A93" s="1080"/>
      <c r="B93" s="1081"/>
      <c r="C93" s="1081"/>
      <c r="D93" s="1081"/>
      <c r="E93" s="1081"/>
      <c r="F93" s="1081"/>
      <c r="G93" s="1081"/>
      <c r="H93" s="1081"/>
      <c r="I93" s="1081"/>
      <c r="J93" s="1081"/>
      <c r="K93" s="1081"/>
      <c r="L93" s="1081"/>
      <c r="M93" s="1093"/>
      <c r="X93"/>
      <c r="Y93"/>
      <c r="Z93"/>
      <c r="AA93"/>
      <c r="AB93"/>
      <c r="AC93"/>
    </row>
    <row r="94" spans="1:29">
      <c r="A94" s="1080"/>
      <c r="B94" s="1081"/>
      <c r="C94" s="1081"/>
      <c r="D94" s="1081"/>
      <c r="E94" s="1081"/>
      <c r="F94" s="1081"/>
      <c r="G94" s="1081"/>
      <c r="H94" s="1081"/>
      <c r="I94" s="1081"/>
      <c r="J94" s="1081"/>
      <c r="K94" s="1081"/>
      <c r="L94" s="1081"/>
      <c r="M94" s="1093"/>
      <c r="X94"/>
      <c r="Y94"/>
      <c r="Z94"/>
      <c r="AA94"/>
      <c r="AB94"/>
      <c r="AC94"/>
    </row>
    <row r="95" spans="1:29">
      <c r="A95" s="1080"/>
      <c r="B95" s="1081"/>
      <c r="C95" s="1081"/>
      <c r="D95" s="1081"/>
      <c r="E95" s="1081"/>
      <c r="F95" s="1081"/>
      <c r="G95" s="1081"/>
      <c r="H95" s="1081"/>
      <c r="I95" s="1081"/>
      <c r="J95" s="1081"/>
      <c r="K95" s="1081"/>
      <c r="L95" s="1081"/>
      <c r="M95" s="1093"/>
      <c r="X95"/>
      <c r="Y95"/>
      <c r="Z95"/>
      <c r="AA95"/>
      <c r="AB95"/>
      <c r="AC95"/>
    </row>
    <row r="96" spans="1:29">
      <c r="A96" s="1080"/>
      <c r="B96" s="1081"/>
      <c r="C96" s="1081"/>
      <c r="D96" s="1081"/>
      <c r="E96" s="1081"/>
      <c r="F96" s="1081"/>
      <c r="G96" s="1081"/>
      <c r="H96" s="1081"/>
      <c r="I96" s="1081"/>
      <c r="J96" s="1081"/>
      <c r="K96" s="1081"/>
      <c r="L96" s="1081"/>
      <c r="M96" s="1093"/>
      <c r="X96"/>
      <c r="Y96"/>
      <c r="Z96"/>
      <c r="AA96"/>
      <c r="AB96"/>
      <c r="AC96"/>
    </row>
    <row r="97" spans="1:29">
      <c r="A97" s="1080"/>
      <c r="B97" s="1081"/>
      <c r="C97" s="1081"/>
      <c r="D97" s="1081"/>
      <c r="E97" s="1081"/>
      <c r="F97" s="1081"/>
      <c r="G97" s="1081"/>
      <c r="H97" s="1081"/>
      <c r="I97" s="1081"/>
      <c r="J97" s="1081"/>
      <c r="K97" s="1081"/>
      <c r="L97" s="1081"/>
      <c r="M97" s="1093"/>
      <c r="X97"/>
      <c r="Y97"/>
      <c r="Z97"/>
      <c r="AA97"/>
      <c r="AB97"/>
      <c r="AC97"/>
    </row>
    <row r="98" spans="1:29">
      <c r="A98" s="1080"/>
      <c r="B98" s="1081"/>
      <c r="C98" s="1081"/>
      <c r="D98" s="1081"/>
      <c r="E98" s="1081"/>
      <c r="F98" s="1081"/>
      <c r="G98" s="1081"/>
      <c r="H98" s="1081"/>
      <c r="I98" s="1081"/>
      <c r="J98" s="1081"/>
      <c r="K98" s="1081"/>
      <c r="L98" s="1081"/>
      <c r="M98" s="1093"/>
      <c r="X98"/>
      <c r="Y98"/>
      <c r="Z98"/>
      <c r="AA98"/>
      <c r="AB98"/>
      <c r="AC98"/>
    </row>
    <row r="99" spans="1:29">
      <c r="A99" s="1080"/>
      <c r="B99" s="1081"/>
      <c r="C99" s="1081"/>
      <c r="D99" s="1081"/>
      <c r="E99" s="1081"/>
      <c r="F99" s="1081"/>
      <c r="G99" s="1081"/>
      <c r="H99" s="1081"/>
      <c r="I99" s="1081"/>
      <c r="J99" s="1081"/>
      <c r="K99" s="1081"/>
      <c r="L99" s="1081"/>
      <c r="M99" s="1093"/>
      <c r="X99"/>
      <c r="Y99"/>
      <c r="Z99"/>
      <c r="AA99"/>
      <c r="AB99"/>
      <c r="AC99"/>
    </row>
    <row r="100" spans="1:29">
      <c r="A100" s="1080"/>
      <c r="B100" s="1081"/>
      <c r="C100" s="1081"/>
      <c r="D100" s="1081"/>
      <c r="E100" s="1081"/>
      <c r="F100" s="1081"/>
      <c r="G100" s="1081"/>
      <c r="H100" s="1081"/>
      <c r="I100" s="1081"/>
      <c r="J100" s="1081"/>
      <c r="K100" s="1081"/>
      <c r="L100" s="1081"/>
      <c r="M100" s="1093"/>
      <c r="X100"/>
      <c r="Y100"/>
      <c r="Z100"/>
      <c r="AA100"/>
      <c r="AB100"/>
      <c r="AC100"/>
    </row>
    <row r="101" spans="1:29">
      <c r="A101" s="1080"/>
      <c r="B101" s="1081"/>
      <c r="C101" s="1081"/>
      <c r="D101" s="1081"/>
      <c r="E101" s="1081"/>
      <c r="F101" s="1081"/>
      <c r="G101" s="1081"/>
      <c r="H101" s="1081"/>
      <c r="I101" s="1081"/>
      <c r="J101" s="1081"/>
      <c r="K101" s="1081"/>
      <c r="L101" s="1081"/>
      <c r="M101" s="1093"/>
      <c r="X101"/>
      <c r="Y101"/>
      <c r="Z101"/>
      <c r="AA101"/>
      <c r="AB101"/>
      <c r="AC101"/>
    </row>
    <row r="102" spans="1:29">
      <c r="A102" s="1080"/>
      <c r="B102" s="1081"/>
      <c r="C102" s="1081"/>
      <c r="D102" s="1081"/>
      <c r="E102" s="1081"/>
      <c r="F102" s="1081"/>
      <c r="G102" s="1081"/>
      <c r="H102" s="1081"/>
      <c r="I102" s="1081"/>
      <c r="J102" s="1081"/>
      <c r="K102" s="1081"/>
      <c r="L102" s="1081"/>
      <c r="M102" s="1093"/>
      <c r="X102"/>
      <c r="Y102"/>
      <c r="Z102"/>
      <c r="AA102"/>
      <c r="AB102"/>
      <c r="AC102"/>
    </row>
    <row r="103" spans="1:29">
      <c r="A103" s="1080"/>
      <c r="B103" s="1081"/>
      <c r="C103" s="1081"/>
      <c r="D103" s="1081"/>
      <c r="E103" s="1081"/>
      <c r="F103" s="1081"/>
      <c r="G103" s="1081"/>
      <c r="H103" s="1081"/>
      <c r="I103" s="1081"/>
      <c r="J103" s="1081"/>
      <c r="K103" s="1081"/>
      <c r="L103" s="1081"/>
      <c r="M103" s="1093"/>
      <c r="X103"/>
      <c r="Y103"/>
      <c r="Z103"/>
      <c r="AA103"/>
      <c r="AB103"/>
      <c r="AC103"/>
    </row>
    <row r="104" spans="1:29">
      <c r="A104" s="1080"/>
      <c r="B104" s="1081"/>
      <c r="C104" s="1081"/>
      <c r="D104" s="1081"/>
      <c r="E104" s="1081"/>
      <c r="F104" s="1081"/>
      <c r="G104" s="1081"/>
      <c r="H104" s="1081"/>
      <c r="I104" s="1081"/>
      <c r="J104" s="1081"/>
      <c r="K104" s="1081"/>
      <c r="L104" s="1081"/>
      <c r="M104" s="1093"/>
      <c r="X104"/>
      <c r="Y104"/>
      <c r="Z104"/>
      <c r="AA104"/>
      <c r="AB104"/>
      <c r="AC104"/>
    </row>
    <row r="105" spans="1:29">
      <c r="A105" s="1080"/>
      <c r="B105" s="1081"/>
      <c r="C105" s="1081"/>
      <c r="D105" s="1081"/>
      <c r="E105" s="1081"/>
      <c r="F105" s="1081"/>
      <c r="G105" s="1081"/>
      <c r="H105" s="1081"/>
      <c r="I105" s="1081"/>
      <c r="J105" s="1081"/>
      <c r="K105" s="1081"/>
      <c r="L105" s="1081"/>
      <c r="M105" s="1093"/>
      <c r="X105"/>
      <c r="Y105"/>
      <c r="Z105"/>
      <c r="AA105"/>
      <c r="AB105"/>
      <c r="AC105"/>
    </row>
    <row r="106" spans="1:29">
      <c r="A106" s="1080"/>
      <c r="B106" s="1081"/>
      <c r="C106" s="1081"/>
      <c r="D106" s="1081"/>
      <c r="E106" s="1081"/>
      <c r="F106" s="1081"/>
      <c r="G106" s="1081"/>
      <c r="H106" s="1081"/>
      <c r="I106" s="1081"/>
      <c r="J106" s="1081"/>
      <c r="K106" s="1081"/>
      <c r="L106" s="1081"/>
      <c r="M106" s="1093"/>
      <c r="X106"/>
      <c r="Y106"/>
      <c r="Z106"/>
      <c r="AA106"/>
      <c r="AB106"/>
      <c r="AC106"/>
    </row>
    <row r="107" spans="1:29">
      <c r="A107" s="1080"/>
      <c r="B107" s="1081"/>
      <c r="C107" s="1081"/>
      <c r="D107" s="1081"/>
      <c r="E107" s="1081"/>
      <c r="F107" s="1081"/>
      <c r="G107" s="1081"/>
      <c r="H107" s="1081"/>
      <c r="I107" s="1081"/>
      <c r="J107" s="1081"/>
      <c r="K107" s="1081"/>
      <c r="L107" s="1081"/>
      <c r="M107" s="1093"/>
      <c r="X107"/>
      <c r="Y107"/>
      <c r="Z107"/>
      <c r="AA107"/>
      <c r="AB107"/>
      <c r="AC107"/>
    </row>
    <row r="108" spans="1:29">
      <c r="A108" s="1080"/>
      <c r="B108" s="1081"/>
      <c r="C108" s="1081"/>
      <c r="D108" s="1081"/>
      <c r="E108" s="1081"/>
      <c r="F108" s="1081"/>
      <c r="G108" s="1081"/>
      <c r="H108" s="1081"/>
      <c r="I108" s="1081"/>
      <c r="J108" s="1081"/>
      <c r="K108" s="1081"/>
      <c r="L108" s="1081"/>
      <c r="M108" s="1093"/>
      <c r="X108"/>
      <c r="Y108"/>
      <c r="Z108"/>
      <c r="AA108"/>
      <c r="AB108"/>
      <c r="AC108"/>
    </row>
    <row r="109" spans="1:29">
      <c r="A109" s="1080"/>
      <c r="B109" s="1081"/>
      <c r="C109" s="1081"/>
      <c r="D109" s="1081"/>
      <c r="E109" s="1081"/>
      <c r="F109" s="1081"/>
      <c r="G109" s="1081"/>
      <c r="H109" s="1081"/>
      <c r="I109" s="1081"/>
      <c r="J109" s="1081"/>
      <c r="K109" s="1081"/>
      <c r="L109" s="1081"/>
      <c r="M109" s="1093"/>
      <c r="X109"/>
      <c r="Y109"/>
      <c r="Z109"/>
      <c r="AA109"/>
      <c r="AB109"/>
      <c r="AC109"/>
    </row>
    <row r="110" spans="1:29">
      <c r="A110" s="1080"/>
      <c r="B110" s="1081"/>
      <c r="C110" s="1081"/>
      <c r="D110" s="1081"/>
      <c r="E110" s="1081"/>
      <c r="F110" s="1081"/>
      <c r="G110" s="1081"/>
      <c r="H110" s="1081"/>
      <c r="I110" s="1081"/>
      <c r="J110" s="1081"/>
      <c r="K110" s="1081"/>
      <c r="L110" s="1081"/>
      <c r="M110" s="1093"/>
      <c r="X110"/>
      <c r="Y110"/>
      <c r="Z110"/>
      <c r="AA110"/>
      <c r="AB110"/>
      <c r="AC110"/>
    </row>
    <row r="111" spans="1:29">
      <c r="A111" s="1080"/>
      <c r="B111" s="1081"/>
      <c r="C111" s="1081"/>
      <c r="D111" s="1081"/>
      <c r="E111" s="1081"/>
      <c r="F111" s="1081"/>
      <c r="G111" s="1081"/>
      <c r="H111" s="1081"/>
      <c r="I111" s="1081"/>
      <c r="J111" s="1081"/>
      <c r="K111" s="1081"/>
      <c r="L111" s="1081"/>
      <c r="M111" s="1093"/>
      <c r="X111"/>
      <c r="Y111"/>
      <c r="Z111"/>
      <c r="AA111"/>
      <c r="AB111"/>
      <c r="AC111"/>
    </row>
    <row r="112" spans="1:29">
      <c r="A112" s="1080"/>
      <c r="B112" s="1081"/>
      <c r="C112" s="1081"/>
      <c r="D112" s="1081"/>
      <c r="E112" s="1081"/>
      <c r="F112" s="1081"/>
      <c r="G112" s="1081"/>
      <c r="H112" s="1081"/>
      <c r="I112" s="1081"/>
      <c r="J112" s="1081"/>
      <c r="K112" s="1081"/>
      <c r="L112" s="1081"/>
      <c r="M112" s="1093"/>
      <c r="X112"/>
      <c r="Y112"/>
      <c r="Z112"/>
      <c r="AA112"/>
      <c r="AB112"/>
      <c r="AC112"/>
    </row>
    <row r="113" spans="1:29">
      <c r="A113" s="1080"/>
      <c r="B113" s="1081"/>
      <c r="C113" s="1081"/>
      <c r="D113" s="1081"/>
      <c r="E113" s="1081"/>
      <c r="F113" s="1081"/>
      <c r="G113" s="1081"/>
      <c r="H113" s="1081"/>
      <c r="I113" s="1081"/>
      <c r="J113" s="1081"/>
      <c r="K113" s="1081"/>
      <c r="L113" s="1081"/>
      <c r="M113" s="1093"/>
      <c r="X113"/>
      <c r="Y113"/>
      <c r="Z113"/>
      <c r="AA113"/>
      <c r="AB113"/>
      <c r="AC113"/>
    </row>
    <row r="114" spans="1:29">
      <c r="A114" s="1080"/>
      <c r="B114" s="1081"/>
      <c r="C114" s="1081"/>
      <c r="D114" s="1081"/>
      <c r="E114" s="1081"/>
      <c r="F114" s="1081"/>
      <c r="G114" s="1081"/>
      <c r="H114" s="1081"/>
      <c r="I114" s="1081"/>
      <c r="J114" s="1081"/>
      <c r="K114" s="1081"/>
      <c r="L114" s="1081"/>
      <c r="M114" s="1093"/>
      <c r="X114"/>
      <c r="Y114"/>
      <c r="Z114"/>
      <c r="AA114"/>
      <c r="AB114"/>
      <c r="AC114"/>
    </row>
    <row r="115" spans="1:29">
      <c r="A115" s="1080"/>
      <c r="B115" s="1081"/>
      <c r="C115" s="1081"/>
      <c r="D115" s="1081"/>
      <c r="E115" s="1081"/>
      <c r="F115" s="1081"/>
      <c r="G115" s="1081"/>
      <c r="H115" s="1081"/>
      <c r="I115" s="1081"/>
      <c r="J115" s="1081"/>
      <c r="K115" s="1081"/>
      <c r="L115" s="1081"/>
      <c r="M115" s="1093"/>
      <c r="X115"/>
      <c r="Y115"/>
      <c r="Z115"/>
      <c r="AA115"/>
      <c r="AB115"/>
      <c r="AC115"/>
    </row>
    <row r="116" spans="1:29">
      <c r="A116" s="1080"/>
      <c r="B116" s="1081"/>
      <c r="C116" s="1081"/>
      <c r="D116" s="1081"/>
      <c r="E116" s="1081"/>
      <c r="F116" s="1081"/>
      <c r="G116" s="1081"/>
      <c r="H116" s="1081"/>
      <c r="I116" s="1081"/>
      <c r="J116" s="1081"/>
      <c r="K116" s="1081"/>
      <c r="L116" s="1081"/>
      <c r="M116" s="1093"/>
      <c r="X116"/>
      <c r="Y116"/>
      <c r="Z116"/>
      <c r="AA116"/>
      <c r="AB116"/>
      <c r="AC116"/>
    </row>
    <row r="117" spans="1:29">
      <c r="A117" s="1080"/>
      <c r="B117" s="1081"/>
      <c r="C117" s="1081"/>
      <c r="D117" s="1081"/>
      <c r="E117" s="1081"/>
      <c r="F117" s="1081"/>
      <c r="G117" s="1081"/>
      <c r="H117" s="1081"/>
      <c r="I117" s="1081"/>
      <c r="J117" s="1081"/>
      <c r="K117" s="1081"/>
      <c r="L117" s="1081"/>
      <c r="M117" s="1093"/>
      <c r="X117"/>
      <c r="Y117"/>
      <c r="Z117"/>
      <c r="AA117"/>
      <c r="AB117"/>
      <c r="AC117"/>
    </row>
    <row r="118" spans="1:29">
      <c r="A118" s="1080"/>
      <c r="B118" s="1081"/>
      <c r="C118" s="1081"/>
      <c r="D118" s="1081"/>
      <c r="E118" s="1081"/>
      <c r="F118" s="1081"/>
      <c r="G118" s="1081"/>
      <c r="H118" s="1081"/>
      <c r="I118" s="1081"/>
      <c r="J118" s="1081"/>
      <c r="K118" s="1081"/>
      <c r="L118" s="1081"/>
      <c r="M118" s="1093"/>
      <c r="X118"/>
      <c r="Y118"/>
      <c r="Z118"/>
      <c r="AA118"/>
      <c r="AB118"/>
      <c r="AC118"/>
    </row>
    <row r="119" spans="1:29">
      <c r="A119" s="1080"/>
      <c r="B119" s="1081"/>
      <c r="C119" s="1081"/>
      <c r="D119" s="1081"/>
      <c r="E119" s="1081"/>
      <c r="F119" s="1081"/>
      <c r="G119" s="1081"/>
      <c r="H119" s="1081"/>
      <c r="I119" s="1081"/>
      <c r="J119" s="1081"/>
      <c r="K119" s="1081"/>
      <c r="L119" s="1081"/>
      <c r="M119" s="1093"/>
      <c r="X119"/>
      <c r="Y119"/>
      <c r="Z119"/>
      <c r="AA119"/>
      <c r="AB119"/>
      <c r="AC119"/>
    </row>
    <row r="120" spans="1:29">
      <c r="A120" s="1080"/>
      <c r="B120" s="1081"/>
      <c r="C120" s="1081"/>
      <c r="D120" s="1081"/>
      <c r="E120" s="1081"/>
      <c r="F120" s="1081"/>
      <c r="G120" s="1081"/>
      <c r="H120" s="1081"/>
      <c r="I120" s="1081"/>
      <c r="J120" s="1081"/>
      <c r="K120" s="1081"/>
      <c r="L120" s="1081"/>
      <c r="M120" s="1093"/>
      <c r="X120"/>
      <c r="Y120"/>
      <c r="Z120"/>
      <c r="AA120"/>
      <c r="AB120"/>
      <c r="AC120"/>
    </row>
    <row r="121" spans="1:29">
      <c r="A121" s="1080"/>
      <c r="B121" s="1081"/>
      <c r="C121" s="1081"/>
      <c r="D121" s="1081"/>
      <c r="E121" s="1081"/>
      <c r="F121" s="1081"/>
      <c r="G121" s="1081"/>
      <c r="H121" s="1081"/>
      <c r="I121" s="1081"/>
      <c r="J121" s="1081"/>
      <c r="K121" s="1081"/>
      <c r="L121" s="1081"/>
      <c r="M121" s="1093"/>
      <c r="X121"/>
      <c r="Y121"/>
      <c r="Z121"/>
      <c r="AA121"/>
      <c r="AB121"/>
      <c r="AC121"/>
    </row>
    <row r="122" spans="1:29">
      <c r="A122" s="1080"/>
      <c r="B122" s="1081"/>
      <c r="C122" s="1081"/>
      <c r="D122" s="1081"/>
      <c r="E122" s="1081"/>
      <c r="F122" s="1081"/>
      <c r="G122" s="1081"/>
      <c r="H122" s="1081"/>
      <c r="I122" s="1081"/>
      <c r="J122" s="1081"/>
      <c r="K122" s="1081"/>
      <c r="L122" s="1081"/>
      <c r="M122" s="1093"/>
      <c r="X122"/>
      <c r="Y122"/>
      <c r="Z122"/>
      <c r="AA122"/>
      <c r="AB122"/>
      <c r="AC122"/>
    </row>
    <row r="123" spans="1:29">
      <c r="A123" s="1080"/>
      <c r="B123" s="1081"/>
      <c r="C123" s="1081"/>
      <c r="D123" s="1081"/>
      <c r="E123" s="1081"/>
      <c r="F123" s="1081"/>
      <c r="G123" s="1081"/>
      <c r="H123" s="1081"/>
      <c r="I123" s="1081"/>
      <c r="J123" s="1081"/>
      <c r="K123" s="1081"/>
      <c r="L123" s="1081"/>
      <c r="M123" s="1093"/>
      <c r="X123"/>
      <c r="Y123"/>
      <c r="Z123"/>
      <c r="AA123"/>
      <c r="AB123"/>
      <c r="AC123"/>
    </row>
    <row r="124" spans="1:29">
      <c r="A124" s="1080"/>
      <c r="B124" s="1081"/>
      <c r="C124" s="1081"/>
      <c r="D124" s="1081"/>
      <c r="E124" s="1081"/>
      <c r="F124" s="1081"/>
      <c r="G124" s="1081"/>
      <c r="H124" s="1081"/>
      <c r="I124" s="1081"/>
      <c r="J124" s="1081"/>
      <c r="K124" s="1081"/>
      <c r="L124" s="1081"/>
      <c r="M124" s="1093"/>
      <c r="X124"/>
      <c r="Y124"/>
      <c r="Z124"/>
      <c r="AA124"/>
      <c r="AB124"/>
      <c r="AC124"/>
    </row>
    <row r="125" spans="1:29">
      <c r="A125" s="1080"/>
      <c r="B125" s="1081"/>
      <c r="C125" s="1081"/>
      <c r="D125" s="1081"/>
      <c r="E125" s="1081"/>
      <c r="F125" s="1081"/>
      <c r="G125" s="1081"/>
      <c r="H125" s="1081"/>
      <c r="I125" s="1081"/>
      <c r="J125" s="1081"/>
      <c r="K125" s="1081"/>
      <c r="L125" s="1081"/>
      <c r="M125" s="1093"/>
      <c r="X125"/>
      <c r="Y125"/>
      <c r="Z125"/>
      <c r="AA125"/>
      <c r="AB125"/>
      <c r="AC125"/>
    </row>
    <row r="126" spans="1:29">
      <c r="A126" s="1080"/>
      <c r="B126" s="1081"/>
      <c r="C126" s="1081"/>
      <c r="D126" s="1081"/>
      <c r="E126" s="1081"/>
      <c r="F126" s="1081"/>
      <c r="G126" s="1081"/>
      <c r="H126" s="1081"/>
      <c r="I126" s="1081"/>
      <c r="J126" s="1081"/>
      <c r="K126" s="1081"/>
      <c r="L126" s="1081"/>
      <c r="M126" s="1093"/>
      <c r="X126"/>
      <c r="Y126"/>
      <c r="Z126"/>
      <c r="AA126"/>
      <c r="AB126"/>
      <c r="AC126"/>
    </row>
    <row r="127" spans="1:29">
      <c r="A127" s="1080"/>
      <c r="B127" s="1081"/>
      <c r="C127" s="1081"/>
      <c r="D127" s="1081"/>
      <c r="E127" s="1081"/>
      <c r="F127" s="1081"/>
      <c r="G127" s="1081"/>
      <c r="H127" s="1081"/>
      <c r="I127" s="1081"/>
      <c r="J127" s="1081"/>
      <c r="K127" s="1081"/>
      <c r="L127" s="1081"/>
      <c r="M127" s="1093"/>
      <c r="X127"/>
      <c r="Y127"/>
      <c r="Z127"/>
      <c r="AA127"/>
      <c r="AB127"/>
      <c r="AC127"/>
    </row>
    <row r="128" spans="1:29">
      <c r="A128" s="1080"/>
      <c r="B128" s="1081"/>
      <c r="C128" s="1081"/>
      <c r="D128" s="1081"/>
      <c r="E128" s="1081"/>
      <c r="F128" s="1081"/>
      <c r="G128" s="1081"/>
      <c r="H128" s="1081"/>
      <c r="I128" s="1081"/>
      <c r="J128" s="1081"/>
      <c r="K128" s="1081"/>
      <c r="L128" s="1081"/>
      <c r="M128" s="1093"/>
      <c r="X128"/>
      <c r="Y128"/>
      <c r="Z128"/>
      <c r="AA128"/>
      <c r="AB128"/>
      <c r="AC128"/>
    </row>
    <row r="129" spans="1:29">
      <c r="A129" s="1080"/>
      <c r="B129" s="1081"/>
      <c r="C129" s="1081"/>
      <c r="D129" s="1081"/>
      <c r="E129" s="1081"/>
      <c r="F129" s="1081"/>
      <c r="G129" s="1081"/>
      <c r="H129" s="1081"/>
      <c r="I129" s="1081"/>
      <c r="J129" s="1081"/>
      <c r="K129" s="1081"/>
      <c r="L129" s="1081"/>
      <c r="M129" s="1093"/>
      <c r="X129"/>
      <c r="Y129"/>
      <c r="Z129"/>
      <c r="AA129"/>
      <c r="AB129"/>
      <c r="AC129"/>
    </row>
    <row r="130" spans="1:29">
      <c r="A130" s="1080"/>
      <c r="B130" s="1081"/>
      <c r="C130" s="1081"/>
      <c r="D130" s="1081"/>
      <c r="E130" s="1081"/>
      <c r="F130" s="1081"/>
      <c r="G130" s="1081"/>
      <c r="H130" s="1081"/>
      <c r="I130" s="1081"/>
      <c r="J130" s="1081"/>
      <c r="K130" s="1081"/>
      <c r="L130" s="1081"/>
      <c r="M130" s="1093"/>
      <c r="X130"/>
      <c r="Y130"/>
      <c r="Z130"/>
      <c r="AA130"/>
      <c r="AB130"/>
      <c r="AC130"/>
    </row>
    <row r="131" spans="1:29">
      <c r="A131" s="1080"/>
      <c r="B131" s="1081"/>
      <c r="C131" s="1081"/>
      <c r="D131" s="1081"/>
      <c r="E131" s="1081"/>
      <c r="F131" s="1081"/>
      <c r="G131" s="1081"/>
      <c r="H131" s="1081"/>
      <c r="I131" s="1081"/>
      <c r="J131" s="1081"/>
      <c r="K131" s="1081"/>
      <c r="L131" s="1081"/>
      <c r="M131" s="1093"/>
      <c r="X131"/>
      <c r="Y131"/>
      <c r="Z131"/>
      <c r="AA131"/>
      <c r="AB131"/>
      <c r="AC131"/>
    </row>
    <row r="132" spans="1:29">
      <c r="A132" s="1080"/>
      <c r="B132" s="1081"/>
      <c r="C132" s="1081"/>
      <c r="D132" s="1081"/>
      <c r="E132" s="1081"/>
      <c r="F132" s="1081"/>
      <c r="G132" s="1081"/>
      <c r="H132" s="1081"/>
      <c r="I132" s="1081"/>
      <c r="J132" s="1081"/>
      <c r="K132" s="1081"/>
      <c r="L132" s="1081"/>
      <c r="M132" s="1093"/>
      <c r="X132"/>
      <c r="Y132"/>
      <c r="Z132"/>
      <c r="AA132"/>
      <c r="AB132"/>
      <c r="AC132"/>
    </row>
    <row r="133" spans="1:29">
      <c r="A133" s="1080"/>
      <c r="B133" s="1081"/>
      <c r="C133" s="1081"/>
      <c r="D133" s="1081"/>
      <c r="E133" s="1081"/>
      <c r="F133" s="1081"/>
      <c r="G133" s="1081"/>
      <c r="H133" s="1081"/>
      <c r="I133" s="1081"/>
      <c r="J133" s="1081"/>
      <c r="K133" s="1081"/>
      <c r="L133" s="1081"/>
      <c r="M133" s="1093"/>
      <c r="X133"/>
      <c r="Y133"/>
      <c r="Z133"/>
      <c r="AA133"/>
      <c r="AB133"/>
      <c r="AC133"/>
    </row>
    <row r="134" spans="1:29">
      <c r="A134" s="1080"/>
      <c r="B134" s="1081"/>
      <c r="C134" s="1081"/>
      <c r="D134" s="1081"/>
      <c r="E134" s="1081"/>
      <c r="F134" s="1081"/>
      <c r="G134" s="1081"/>
      <c r="H134" s="1081"/>
      <c r="I134" s="1081"/>
      <c r="J134" s="1081"/>
      <c r="K134" s="1081"/>
      <c r="L134" s="1081"/>
      <c r="M134" s="1093"/>
      <c r="X134"/>
      <c r="Y134"/>
      <c r="Z134"/>
      <c r="AA134"/>
      <c r="AB134"/>
      <c r="AC134"/>
    </row>
    <row r="135" spans="1:29">
      <c r="A135" s="1080"/>
      <c r="B135" s="1081"/>
      <c r="C135" s="1081"/>
      <c r="D135" s="1081"/>
      <c r="E135" s="1081"/>
      <c r="F135" s="1081"/>
      <c r="G135" s="1081"/>
      <c r="H135" s="1081"/>
      <c r="I135" s="1081"/>
      <c r="J135" s="1081"/>
      <c r="K135" s="1081"/>
      <c r="L135" s="1081"/>
      <c r="M135" s="1093"/>
      <c r="X135"/>
      <c r="Y135"/>
      <c r="Z135"/>
      <c r="AA135"/>
      <c r="AB135"/>
      <c r="AC135"/>
    </row>
    <row r="136" spans="1:29">
      <c r="A136" s="1080"/>
      <c r="B136" s="1081"/>
      <c r="C136" s="1081"/>
      <c r="D136" s="1081"/>
      <c r="E136" s="1081"/>
      <c r="F136" s="1081"/>
      <c r="G136" s="1081"/>
      <c r="H136" s="1081"/>
      <c r="I136" s="1081"/>
      <c r="J136" s="1081"/>
      <c r="K136" s="1081"/>
      <c r="L136" s="1081"/>
      <c r="M136" s="1093"/>
      <c r="X136"/>
      <c r="Y136"/>
      <c r="Z136"/>
      <c r="AA136"/>
      <c r="AB136"/>
      <c r="AC136"/>
    </row>
    <row r="137" spans="1:29">
      <c r="A137" s="1080"/>
      <c r="B137" s="1081"/>
      <c r="C137" s="1081"/>
      <c r="D137" s="1081"/>
      <c r="E137" s="1081"/>
      <c r="F137" s="1081"/>
      <c r="G137" s="1081"/>
      <c r="H137" s="1081"/>
      <c r="I137" s="1081"/>
      <c r="J137" s="1081"/>
      <c r="K137" s="1081"/>
      <c r="L137" s="1081"/>
      <c r="M137" s="1093"/>
      <c r="X137"/>
      <c r="Y137"/>
      <c r="Z137"/>
      <c r="AA137"/>
      <c r="AB137"/>
      <c r="AC137"/>
    </row>
    <row r="138" spans="1:29">
      <c r="A138" s="1080"/>
      <c r="B138" s="1081"/>
      <c r="C138" s="1081"/>
      <c r="D138" s="1081"/>
      <c r="E138" s="1081"/>
      <c r="F138" s="1081"/>
      <c r="G138" s="1081"/>
      <c r="H138" s="1081"/>
      <c r="I138" s="1081"/>
      <c r="J138" s="1081"/>
      <c r="K138" s="1081"/>
      <c r="L138" s="1081"/>
      <c r="M138" s="1093"/>
      <c r="X138"/>
      <c r="Y138"/>
      <c r="Z138"/>
      <c r="AA138"/>
      <c r="AB138"/>
      <c r="AC138"/>
    </row>
    <row r="139" spans="1:29">
      <c r="A139" s="1080"/>
      <c r="B139" s="1081"/>
      <c r="C139" s="1081"/>
      <c r="D139" s="1081"/>
      <c r="E139" s="1081"/>
      <c r="F139" s="1081"/>
      <c r="G139" s="1081"/>
      <c r="H139" s="1081"/>
      <c r="I139" s="1081"/>
      <c r="J139" s="1081"/>
      <c r="K139" s="1081"/>
      <c r="L139" s="1081"/>
      <c r="M139" s="1093"/>
      <c r="X139"/>
      <c r="Y139"/>
      <c r="Z139"/>
      <c r="AA139"/>
      <c r="AB139"/>
      <c r="AC139"/>
    </row>
    <row r="140" spans="1:29">
      <c r="A140" s="1080"/>
      <c r="B140" s="1081"/>
      <c r="C140" s="1081"/>
      <c r="D140" s="1081"/>
      <c r="E140" s="1081"/>
      <c r="F140" s="1081"/>
      <c r="G140" s="1081"/>
      <c r="H140" s="1081"/>
      <c r="I140" s="1081"/>
      <c r="J140" s="1081"/>
      <c r="K140" s="1081"/>
      <c r="L140" s="1081"/>
      <c r="M140" s="1093"/>
      <c r="X140"/>
      <c r="Y140"/>
      <c r="Z140"/>
      <c r="AA140"/>
      <c r="AB140"/>
      <c r="AC140"/>
    </row>
    <row r="141" spans="1:29">
      <c r="A141" s="1080"/>
      <c r="B141" s="1081"/>
      <c r="C141" s="1081"/>
      <c r="D141" s="1081"/>
      <c r="E141" s="1081"/>
      <c r="F141" s="1081"/>
      <c r="G141" s="1081"/>
      <c r="H141" s="1081"/>
      <c r="I141" s="1081"/>
      <c r="J141" s="1081"/>
      <c r="K141" s="1081"/>
      <c r="L141" s="1081"/>
      <c r="M141" s="1093"/>
      <c r="X141"/>
      <c r="Y141"/>
      <c r="Z141"/>
      <c r="AA141"/>
      <c r="AB141"/>
      <c r="AC141"/>
    </row>
    <row r="142" spans="1:29">
      <c r="A142" s="1080"/>
      <c r="B142" s="1081"/>
      <c r="C142" s="1081"/>
      <c r="D142" s="1081"/>
      <c r="E142" s="1081"/>
      <c r="F142" s="1081"/>
      <c r="G142" s="1081"/>
      <c r="H142" s="1081"/>
      <c r="I142" s="1081"/>
      <c r="J142" s="1081"/>
      <c r="K142" s="1081"/>
      <c r="L142" s="1081"/>
      <c r="M142" s="1093"/>
      <c r="X142"/>
      <c r="Y142"/>
      <c r="Z142"/>
      <c r="AA142"/>
      <c r="AB142"/>
      <c r="AC142"/>
    </row>
    <row r="143" spans="1:29">
      <c r="A143" s="1080"/>
      <c r="B143" s="1081"/>
      <c r="C143" s="1081"/>
      <c r="D143" s="1081"/>
      <c r="E143" s="1081"/>
      <c r="F143" s="1081"/>
      <c r="G143" s="1081"/>
      <c r="H143" s="1081"/>
      <c r="I143" s="1081"/>
      <c r="J143" s="1081"/>
      <c r="K143" s="1081"/>
      <c r="L143" s="1081"/>
      <c r="M143" s="1093"/>
      <c r="X143"/>
      <c r="Y143"/>
      <c r="Z143"/>
      <c r="AA143"/>
      <c r="AB143"/>
      <c r="AC143"/>
    </row>
    <row r="144" spans="1:29">
      <c r="A144" s="1080"/>
      <c r="B144" s="1081"/>
      <c r="C144" s="1081"/>
      <c r="D144" s="1081"/>
      <c r="E144" s="1081"/>
      <c r="F144" s="1081"/>
      <c r="G144" s="1081"/>
      <c r="H144" s="1081"/>
      <c r="I144" s="1081"/>
      <c r="J144" s="1081"/>
      <c r="K144" s="1081"/>
      <c r="L144" s="1081"/>
      <c r="M144" s="1093"/>
      <c r="X144"/>
      <c r="Y144"/>
      <c r="Z144"/>
      <c r="AA144"/>
      <c r="AB144"/>
      <c r="AC144"/>
    </row>
    <row r="145" spans="1:29">
      <c r="A145" s="1080"/>
      <c r="B145" s="1081"/>
      <c r="C145" s="1081"/>
      <c r="D145" s="1081"/>
      <c r="E145" s="1081"/>
      <c r="F145" s="1081"/>
      <c r="G145" s="1081"/>
      <c r="H145" s="1081"/>
      <c r="I145" s="1081"/>
      <c r="J145" s="1081"/>
      <c r="K145" s="1081"/>
      <c r="L145" s="1081"/>
      <c r="M145" s="1093"/>
      <c r="X145"/>
      <c r="Y145"/>
      <c r="Z145"/>
      <c r="AA145"/>
      <c r="AB145"/>
      <c r="AC145"/>
    </row>
    <row r="146" spans="1:29">
      <c r="A146" s="1080"/>
      <c r="B146" s="1081"/>
      <c r="C146" s="1081"/>
      <c r="D146" s="1081"/>
      <c r="E146" s="1081"/>
      <c r="F146" s="1081"/>
      <c r="G146" s="1081"/>
      <c r="H146" s="1081"/>
      <c r="I146" s="1081"/>
      <c r="J146" s="1081"/>
      <c r="K146" s="1081"/>
      <c r="L146" s="1081"/>
      <c r="M146" s="1093"/>
      <c r="X146"/>
      <c r="Y146"/>
      <c r="Z146"/>
      <c r="AA146"/>
      <c r="AB146"/>
      <c r="AC146"/>
    </row>
    <row r="147" spans="1:29">
      <c r="A147" s="1080"/>
      <c r="B147" s="1081"/>
      <c r="C147" s="1081"/>
      <c r="D147" s="1081"/>
      <c r="E147" s="1081"/>
      <c r="F147" s="1081"/>
      <c r="G147" s="1081"/>
      <c r="H147" s="1081"/>
      <c r="I147" s="1081"/>
      <c r="J147" s="1081"/>
      <c r="K147" s="1081"/>
      <c r="L147" s="1081"/>
      <c r="M147" s="1093"/>
      <c r="X147"/>
      <c r="Y147"/>
      <c r="Z147"/>
      <c r="AA147"/>
      <c r="AB147"/>
      <c r="AC147"/>
    </row>
    <row r="148" spans="1:29">
      <c r="A148" s="1080"/>
      <c r="B148" s="1081"/>
      <c r="C148" s="1081"/>
      <c r="D148" s="1081"/>
      <c r="E148" s="1081"/>
      <c r="F148" s="1081"/>
      <c r="G148" s="1081"/>
      <c r="H148" s="1081"/>
      <c r="I148" s="1081"/>
      <c r="J148" s="1081"/>
      <c r="K148" s="1081"/>
      <c r="L148" s="1081"/>
      <c r="M148" s="1093"/>
      <c r="X148"/>
      <c r="Y148"/>
      <c r="Z148"/>
      <c r="AA148"/>
      <c r="AB148"/>
      <c r="AC148"/>
    </row>
    <row r="149" spans="1:29">
      <c r="A149" s="1080"/>
      <c r="B149" s="1081"/>
      <c r="C149" s="1081"/>
      <c r="D149" s="1081"/>
      <c r="E149" s="1081"/>
      <c r="F149" s="1081"/>
      <c r="G149" s="1081"/>
      <c r="H149" s="1081"/>
      <c r="I149" s="1081"/>
      <c r="J149" s="1081"/>
      <c r="K149" s="1081"/>
      <c r="L149" s="1081"/>
      <c r="M149" s="1093"/>
      <c r="X149"/>
      <c r="Y149"/>
      <c r="Z149"/>
      <c r="AA149"/>
      <c r="AB149"/>
      <c r="AC149"/>
    </row>
    <row r="150" spans="1:29">
      <c r="A150" s="1080"/>
      <c r="B150" s="1081"/>
      <c r="C150" s="1081"/>
      <c r="D150" s="1081"/>
      <c r="E150" s="1081"/>
      <c r="F150" s="1081"/>
      <c r="G150" s="1081"/>
      <c r="H150" s="1081"/>
      <c r="I150" s="1081"/>
      <c r="J150" s="1081"/>
      <c r="K150" s="1081"/>
      <c r="L150" s="1081"/>
      <c r="M150" s="1093"/>
      <c r="X150"/>
      <c r="Y150"/>
      <c r="Z150"/>
      <c r="AA150"/>
      <c r="AB150"/>
      <c r="AC150"/>
    </row>
    <row r="151" spans="1:29">
      <c r="A151" s="1080"/>
      <c r="B151" s="1081"/>
      <c r="C151" s="1081"/>
      <c r="D151" s="1081"/>
      <c r="E151" s="1081"/>
      <c r="F151" s="1081"/>
      <c r="G151" s="1081"/>
      <c r="H151" s="1081"/>
      <c r="I151" s="1081"/>
      <c r="J151" s="1081"/>
      <c r="K151" s="1081"/>
      <c r="L151" s="1081"/>
      <c r="M151" s="1093"/>
      <c r="X151"/>
      <c r="Y151"/>
      <c r="Z151"/>
      <c r="AA151"/>
      <c r="AB151"/>
      <c r="AC151"/>
    </row>
    <row r="152" spans="1:29">
      <c r="A152" s="1080"/>
      <c r="B152" s="1081"/>
      <c r="C152" s="1081"/>
      <c r="D152" s="1081"/>
      <c r="E152" s="1081"/>
      <c r="F152" s="1081"/>
      <c r="G152" s="1081"/>
      <c r="H152" s="1081"/>
      <c r="I152" s="1081"/>
      <c r="J152" s="1081"/>
      <c r="K152" s="1081"/>
      <c r="L152" s="1081"/>
      <c r="M152" s="1093"/>
      <c r="X152"/>
      <c r="Y152"/>
      <c r="Z152"/>
      <c r="AA152"/>
      <c r="AB152"/>
      <c r="AC152"/>
    </row>
    <row r="153" spans="1:29">
      <c r="A153" s="1080"/>
      <c r="B153" s="1081"/>
      <c r="C153" s="1081"/>
      <c r="D153" s="1081"/>
      <c r="E153" s="1081"/>
      <c r="F153" s="1081"/>
      <c r="G153" s="1081"/>
      <c r="H153" s="1081"/>
      <c r="I153" s="1081"/>
      <c r="J153" s="1081"/>
      <c r="K153" s="1081"/>
      <c r="L153" s="1081"/>
      <c r="M153" s="1093"/>
      <c r="X153"/>
      <c r="Y153"/>
      <c r="Z153"/>
      <c r="AA153"/>
      <c r="AB153"/>
      <c r="AC153"/>
    </row>
    <row r="154" spans="1:29">
      <c r="A154" s="1080"/>
      <c r="B154" s="1081"/>
      <c r="C154" s="1081"/>
      <c r="D154" s="1081"/>
      <c r="E154" s="1081"/>
      <c r="F154" s="1081"/>
      <c r="G154" s="1081"/>
      <c r="H154" s="1081"/>
      <c r="I154" s="1081"/>
      <c r="J154" s="1081"/>
      <c r="K154" s="1081"/>
      <c r="L154" s="1081"/>
      <c r="M154" s="1093"/>
      <c r="X154"/>
      <c r="Y154"/>
      <c r="Z154"/>
      <c r="AA154"/>
      <c r="AB154"/>
      <c r="AC154"/>
    </row>
    <row r="155" spans="1:29">
      <c r="A155" s="1080"/>
      <c r="B155" s="1081"/>
      <c r="C155" s="1081"/>
      <c r="D155" s="1081"/>
      <c r="E155" s="1081"/>
      <c r="F155" s="1081"/>
      <c r="G155" s="1081"/>
      <c r="H155" s="1081"/>
      <c r="I155" s="1081"/>
      <c r="J155" s="1081"/>
      <c r="K155" s="1081"/>
      <c r="L155" s="1081"/>
      <c r="M155" s="1093"/>
      <c r="X155"/>
      <c r="Y155"/>
      <c r="Z155"/>
      <c r="AA155"/>
      <c r="AB155"/>
      <c r="AC155"/>
    </row>
    <row r="156" spans="1:29">
      <c r="A156" s="1080"/>
      <c r="B156" s="1081"/>
      <c r="C156" s="1081"/>
      <c r="D156" s="1081"/>
      <c r="E156" s="1081"/>
      <c r="F156" s="1081"/>
      <c r="G156" s="1081"/>
      <c r="H156" s="1081"/>
      <c r="I156" s="1081"/>
      <c r="J156" s="1081"/>
      <c r="K156" s="1081"/>
      <c r="L156" s="1081"/>
      <c r="M156" s="1093"/>
      <c r="X156"/>
      <c r="Y156"/>
      <c r="Z156"/>
      <c r="AA156"/>
      <c r="AB156"/>
      <c r="AC156"/>
    </row>
    <row r="157" spans="1:29">
      <c r="A157" s="1080"/>
      <c r="B157" s="1081"/>
      <c r="C157" s="1081"/>
      <c r="D157" s="1081"/>
      <c r="E157" s="1081"/>
      <c r="F157" s="1081"/>
      <c r="G157" s="1081"/>
      <c r="H157" s="1081"/>
      <c r="I157" s="1081"/>
      <c r="J157" s="1081"/>
      <c r="K157" s="1081"/>
      <c r="L157" s="1081"/>
      <c r="M157" s="1093"/>
      <c r="X157"/>
      <c r="Y157"/>
      <c r="Z157"/>
      <c r="AA157"/>
      <c r="AB157"/>
      <c r="AC157"/>
    </row>
    <row r="158" spans="1:29">
      <c r="A158" s="1080"/>
      <c r="B158" s="1081"/>
      <c r="C158" s="1081"/>
      <c r="D158" s="1081"/>
      <c r="E158" s="1081"/>
      <c r="F158" s="1081"/>
      <c r="G158" s="1081"/>
      <c r="H158" s="1081"/>
      <c r="I158" s="1081"/>
      <c r="J158" s="1081"/>
      <c r="K158" s="1081"/>
      <c r="L158" s="1081"/>
      <c r="M158" s="1093"/>
      <c r="X158"/>
      <c r="Y158"/>
      <c r="Z158"/>
      <c r="AA158"/>
      <c r="AB158"/>
      <c r="AC158"/>
    </row>
    <row r="159" spans="1:29">
      <c r="A159" s="1080"/>
      <c r="B159" s="1081"/>
      <c r="C159" s="1081"/>
      <c r="D159" s="1081"/>
      <c r="E159" s="1081"/>
      <c r="F159" s="1081"/>
      <c r="G159" s="1081"/>
      <c r="H159" s="1081"/>
      <c r="I159" s="1081"/>
      <c r="J159" s="1081"/>
      <c r="K159" s="1081"/>
      <c r="L159" s="1081"/>
      <c r="M159" s="1093"/>
      <c r="X159"/>
      <c r="Y159"/>
      <c r="Z159"/>
      <c r="AA159"/>
      <c r="AB159"/>
      <c r="AC159"/>
    </row>
    <row r="160" spans="1:29">
      <c r="A160" s="1080"/>
      <c r="B160" s="1081"/>
      <c r="C160" s="1081"/>
      <c r="D160" s="1081"/>
      <c r="E160" s="1081"/>
      <c r="F160" s="1081"/>
      <c r="G160" s="1081"/>
      <c r="H160" s="1081"/>
      <c r="I160" s="1081"/>
      <c r="J160" s="1081"/>
      <c r="K160" s="1081"/>
      <c r="L160" s="1081"/>
      <c r="M160" s="1093"/>
      <c r="X160"/>
      <c r="Y160"/>
      <c r="Z160"/>
      <c r="AA160"/>
      <c r="AB160"/>
      <c r="AC160"/>
    </row>
    <row r="161" spans="1:29">
      <c r="A161" s="1080"/>
      <c r="B161" s="1081"/>
      <c r="C161" s="1081"/>
      <c r="D161" s="1081"/>
      <c r="E161" s="1081"/>
      <c r="F161" s="1081"/>
      <c r="G161" s="1081"/>
      <c r="H161" s="1081"/>
      <c r="I161" s="1081"/>
      <c r="J161" s="1081"/>
      <c r="K161" s="1081"/>
      <c r="L161" s="1081"/>
      <c r="M161" s="1093"/>
      <c r="X161"/>
      <c r="Y161"/>
      <c r="Z161"/>
      <c r="AA161"/>
      <c r="AB161"/>
      <c r="AC161"/>
    </row>
    <row r="162" spans="1:29">
      <c r="A162" s="1080"/>
      <c r="B162" s="1081"/>
      <c r="C162" s="1081"/>
      <c r="D162" s="1081"/>
      <c r="E162" s="1081"/>
      <c r="F162" s="1081"/>
      <c r="G162" s="1081"/>
      <c r="H162" s="1081"/>
      <c r="I162" s="1081"/>
      <c r="J162" s="1081"/>
      <c r="K162" s="1081"/>
      <c r="L162" s="1081"/>
      <c r="M162" s="1093"/>
      <c r="X162"/>
      <c r="Y162"/>
      <c r="Z162"/>
      <c r="AA162"/>
      <c r="AB162"/>
      <c r="AC162"/>
    </row>
    <row r="163" spans="1:29">
      <c r="A163" s="1080"/>
      <c r="B163" s="1081"/>
      <c r="C163" s="1081"/>
      <c r="D163" s="1081"/>
      <c r="E163" s="1081"/>
      <c r="F163" s="1081"/>
      <c r="G163" s="1081"/>
      <c r="H163" s="1081"/>
      <c r="I163" s="1081"/>
      <c r="J163" s="1081"/>
      <c r="K163" s="1081"/>
      <c r="L163" s="1081"/>
      <c r="M163" s="1093"/>
      <c r="X163"/>
      <c r="Y163"/>
      <c r="Z163"/>
      <c r="AA163"/>
      <c r="AB163"/>
      <c r="AC163"/>
    </row>
    <row r="164" spans="1:29">
      <c r="A164" s="1080"/>
      <c r="B164" s="1081"/>
      <c r="C164" s="1081"/>
      <c r="D164" s="1081"/>
      <c r="E164" s="1081"/>
      <c r="F164" s="1081"/>
      <c r="G164" s="1081"/>
      <c r="H164" s="1081"/>
      <c r="I164" s="1081"/>
      <c r="J164" s="1081"/>
      <c r="K164" s="1081"/>
      <c r="L164" s="1081"/>
      <c r="M164" s="1093"/>
      <c r="X164"/>
      <c r="Y164"/>
      <c r="Z164"/>
      <c r="AA164"/>
      <c r="AB164"/>
      <c r="AC164"/>
    </row>
    <row r="165" spans="1:29">
      <c r="A165" s="1080"/>
      <c r="B165" s="1081"/>
      <c r="C165" s="1081"/>
      <c r="D165" s="1081"/>
      <c r="E165" s="1081"/>
      <c r="F165" s="1081"/>
      <c r="G165" s="1081"/>
      <c r="H165" s="1081"/>
      <c r="I165" s="1081"/>
      <c r="J165" s="1081"/>
      <c r="K165" s="1081"/>
      <c r="L165" s="1081"/>
      <c r="M165" s="1093"/>
      <c r="X165"/>
      <c r="Y165"/>
      <c r="Z165"/>
      <c r="AA165"/>
      <c r="AB165"/>
      <c r="AC165"/>
    </row>
    <row r="166" spans="1:29">
      <c r="A166" s="1080"/>
      <c r="B166" s="1081"/>
      <c r="C166" s="1081"/>
      <c r="D166" s="1081"/>
      <c r="E166" s="1081"/>
      <c r="F166" s="1081"/>
      <c r="G166" s="1081"/>
      <c r="H166" s="1081"/>
      <c r="I166" s="1081"/>
      <c r="J166" s="1081"/>
      <c r="K166" s="1081"/>
      <c r="L166" s="1081"/>
      <c r="M166" s="1093"/>
      <c r="X166"/>
      <c r="Y166"/>
      <c r="Z166"/>
      <c r="AA166"/>
      <c r="AB166"/>
      <c r="AC166"/>
    </row>
    <row r="167" spans="1:29">
      <c r="A167" s="1080"/>
      <c r="B167" s="1081"/>
      <c r="C167" s="1081"/>
      <c r="D167" s="1081"/>
      <c r="E167" s="1081"/>
      <c r="F167" s="1081"/>
      <c r="G167" s="1081"/>
      <c r="H167" s="1081"/>
      <c r="I167" s="1081"/>
      <c r="J167" s="1081"/>
      <c r="K167" s="1081"/>
      <c r="L167" s="1081"/>
      <c r="M167" s="1093"/>
      <c r="X167"/>
      <c r="Y167"/>
      <c r="Z167"/>
      <c r="AA167"/>
      <c r="AB167"/>
      <c r="AC167"/>
    </row>
    <row r="168" spans="1:29">
      <c r="A168" s="1080"/>
      <c r="B168" s="1081"/>
      <c r="C168" s="1081"/>
      <c r="D168" s="1081"/>
      <c r="E168" s="1081"/>
      <c r="F168" s="1081"/>
      <c r="G168" s="1081"/>
      <c r="H168" s="1081"/>
      <c r="I168" s="1081"/>
      <c r="J168" s="1081"/>
      <c r="K168" s="1081"/>
      <c r="L168" s="1081"/>
      <c r="M168" s="1093"/>
      <c r="X168"/>
      <c r="Y168"/>
      <c r="Z168"/>
      <c r="AA168"/>
      <c r="AB168"/>
      <c r="AC168"/>
    </row>
    <row r="169" spans="1:29">
      <c r="A169" s="1080"/>
      <c r="B169" s="1081"/>
      <c r="C169" s="1081"/>
      <c r="D169" s="1081"/>
      <c r="E169" s="1081"/>
      <c r="F169" s="1081"/>
      <c r="G169" s="1081"/>
      <c r="H169" s="1081"/>
      <c r="I169" s="1081"/>
      <c r="J169" s="1081"/>
      <c r="K169" s="1081"/>
      <c r="L169" s="1081"/>
      <c r="M169" s="1093"/>
      <c r="X169"/>
      <c r="Y169"/>
      <c r="Z169"/>
      <c r="AA169"/>
      <c r="AB169"/>
      <c r="AC169"/>
    </row>
    <row r="170" spans="1:29">
      <c r="A170" s="1080"/>
      <c r="B170" s="1081"/>
      <c r="C170" s="1081"/>
      <c r="D170" s="1081"/>
      <c r="E170" s="1081"/>
      <c r="F170" s="1081"/>
      <c r="G170" s="1081"/>
      <c r="H170" s="1081"/>
      <c r="I170" s="1081"/>
      <c r="J170" s="1081"/>
      <c r="K170" s="1081"/>
      <c r="L170" s="1081"/>
      <c r="M170" s="1093"/>
      <c r="X170"/>
      <c r="Y170"/>
      <c r="Z170"/>
      <c r="AA170"/>
      <c r="AB170"/>
      <c r="AC170"/>
    </row>
    <row r="171" spans="1:29">
      <c r="A171" s="1080"/>
      <c r="B171" s="1081"/>
      <c r="C171" s="1081"/>
      <c r="D171" s="1081"/>
      <c r="E171" s="1081"/>
      <c r="F171" s="1081"/>
      <c r="G171" s="1081"/>
      <c r="H171" s="1081"/>
      <c r="I171" s="1081"/>
      <c r="J171" s="1081"/>
      <c r="K171" s="1081"/>
      <c r="L171" s="1081"/>
      <c r="M171" s="1093"/>
      <c r="X171"/>
      <c r="Y171"/>
      <c r="Z171"/>
      <c r="AA171"/>
      <c r="AB171"/>
      <c r="AC171"/>
    </row>
    <row r="172" spans="1:29">
      <c r="A172" s="1080"/>
      <c r="B172" s="1081"/>
      <c r="C172" s="1081"/>
      <c r="D172" s="1081"/>
      <c r="E172" s="1081"/>
      <c r="F172" s="1081"/>
      <c r="G172" s="1081"/>
      <c r="H172" s="1081"/>
      <c r="I172" s="1081"/>
      <c r="J172" s="1081"/>
      <c r="K172" s="1081"/>
      <c r="L172" s="1081"/>
      <c r="M172" s="1093"/>
      <c r="X172"/>
      <c r="Y172"/>
      <c r="Z172"/>
      <c r="AA172"/>
      <c r="AB172"/>
      <c r="AC172"/>
    </row>
    <row r="173" spans="1:29">
      <c r="A173" s="1080"/>
      <c r="B173" s="1081"/>
      <c r="C173" s="1081"/>
      <c r="D173" s="1081"/>
      <c r="E173" s="1081"/>
      <c r="F173" s="1081"/>
      <c r="G173" s="1081"/>
      <c r="H173" s="1081"/>
      <c r="I173" s="1081"/>
      <c r="J173" s="1081"/>
      <c r="K173" s="1081"/>
      <c r="L173" s="1081"/>
      <c r="M173" s="1093"/>
      <c r="X173"/>
      <c r="Y173"/>
      <c r="Z173"/>
      <c r="AA173"/>
      <c r="AB173"/>
      <c r="AC173"/>
    </row>
    <row r="174" spans="1:29">
      <c r="A174" s="1080"/>
      <c r="B174" s="1081"/>
      <c r="C174" s="1081"/>
      <c r="D174" s="1081"/>
      <c r="E174" s="1081"/>
      <c r="F174" s="1081"/>
      <c r="G174" s="1081"/>
      <c r="H174" s="1081"/>
      <c r="I174" s="1081"/>
      <c r="J174" s="1081"/>
      <c r="K174" s="1081"/>
      <c r="L174" s="1081"/>
      <c r="M174" s="1093"/>
      <c r="X174"/>
      <c r="Y174"/>
      <c r="Z174"/>
      <c r="AA174"/>
      <c r="AB174"/>
      <c r="AC174"/>
    </row>
    <row r="175" spans="1:29">
      <c r="A175" s="1080"/>
      <c r="B175" s="1081"/>
      <c r="C175" s="1081"/>
      <c r="D175" s="1081"/>
      <c r="E175" s="1081"/>
      <c r="F175" s="1081"/>
      <c r="G175" s="1081"/>
      <c r="H175" s="1081"/>
      <c r="I175" s="1081"/>
      <c r="J175" s="1081"/>
      <c r="K175" s="1081"/>
      <c r="L175" s="1081"/>
      <c r="M175" s="1093"/>
      <c r="X175"/>
      <c r="Y175"/>
      <c r="Z175"/>
      <c r="AA175"/>
      <c r="AB175"/>
      <c r="AC175"/>
    </row>
    <row r="176" spans="1:29">
      <c r="A176" s="1080"/>
      <c r="B176" s="1081"/>
      <c r="C176" s="1081"/>
      <c r="D176" s="1081"/>
      <c r="E176" s="1081"/>
      <c r="F176" s="1081"/>
      <c r="G176" s="1081"/>
      <c r="H176" s="1081"/>
      <c r="I176" s="1081"/>
      <c r="J176" s="1081"/>
      <c r="K176" s="1081"/>
      <c r="L176" s="1081"/>
      <c r="M176" s="1093"/>
      <c r="X176"/>
      <c r="Y176"/>
      <c r="Z176"/>
      <c r="AA176"/>
      <c r="AB176"/>
      <c r="AC176"/>
    </row>
    <row r="177" spans="1:29">
      <c r="A177" s="1080"/>
      <c r="B177" s="1081"/>
      <c r="C177" s="1081"/>
      <c r="D177" s="1081"/>
      <c r="E177" s="1081"/>
      <c r="F177" s="1081"/>
      <c r="G177" s="1081"/>
      <c r="H177" s="1081"/>
      <c r="I177" s="1081"/>
      <c r="J177" s="1081"/>
      <c r="K177" s="1081"/>
      <c r="L177" s="1081"/>
      <c r="M177" s="1093"/>
      <c r="X177"/>
      <c r="Y177"/>
      <c r="Z177"/>
      <c r="AA177"/>
      <c r="AB177"/>
      <c r="AC177"/>
    </row>
    <row r="178" spans="1:29">
      <c r="A178" s="1080"/>
      <c r="B178" s="1081"/>
      <c r="C178" s="1081"/>
      <c r="D178" s="1081"/>
      <c r="E178" s="1081"/>
      <c r="F178" s="1081"/>
      <c r="G178" s="1081"/>
      <c r="H178" s="1081"/>
      <c r="I178" s="1081"/>
      <c r="J178" s="1081"/>
      <c r="K178" s="1081"/>
      <c r="L178" s="1081"/>
      <c r="M178" s="1093"/>
      <c r="X178"/>
      <c r="Y178"/>
      <c r="Z178"/>
      <c r="AA178"/>
      <c r="AB178"/>
      <c r="AC178"/>
    </row>
    <row r="179" spans="1:29">
      <c r="A179" s="1080"/>
      <c r="B179" s="1081"/>
      <c r="C179" s="1081"/>
      <c r="D179" s="1081"/>
      <c r="E179" s="1081"/>
      <c r="F179" s="1081"/>
      <c r="G179" s="1081"/>
      <c r="H179" s="1081"/>
      <c r="I179" s="1081"/>
      <c r="J179" s="1081"/>
      <c r="K179" s="1081"/>
      <c r="L179" s="1081"/>
      <c r="M179" s="1093"/>
      <c r="X179"/>
      <c r="Y179"/>
      <c r="Z179"/>
      <c r="AA179"/>
      <c r="AB179"/>
      <c r="AC179"/>
    </row>
    <row r="180" spans="1:29">
      <c r="A180" s="1080"/>
      <c r="B180" s="1081"/>
      <c r="C180" s="1081"/>
      <c r="D180" s="1081"/>
      <c r="E180" s="1081"/>
      <c r="F180" s="1081"/>
      <c r="G180" s="1081"/>
      <c r="H180" s="1081"/>
      <c r="I180" s="1081"/>
      <c r="J180" s="1081"/>
      <c r="K180" s="1081"/>
      <c r="L180" s="1081"/>
      <c r="M180" s="1093"/>
      <c r="X180"/>
      <c r="Y180"/>
      <c r="Z180"/>
      <c r="AA180"/>
      <c r="AB180"/>
      <c r="AC180"/>
    </row>
    <row r="181" spans="1:29">
      <c r="A181" s="1080"/>
      <c r="B181" s="1081"/>
      <c r="C181" s="1081"/>
      <c r="D181" s="1081"/>
      <c r="E181" s="1081"/>
      <c r="F181" s="1081"/>
      <c r="G181" s="1081"/>
      <c r="H181" s="1081"/>
      <c r="I181" s="1081"/>
      <c r="J181" s="1081"/>
      <c r="K181" s="1081"/>
      <c r="L181" s="1081"/>
      <c r="M181" s="1093"/>
      <c r="X181"/>
      <c r="Y181"/>
      <c r="Z181"/>
      <c r="AA181"/>
      <c r="AB181"/>
      <c r="AC181"/>
    </row>
    <row r="182" spans="1:29">
      <c r="A182" s="1080"/>
      <c r="B182" s="1081"/>
      <c r="C182" s="1081"/>
      <c r="D182" s="1081"/>
      <c r="E182" s="1081"/>
      <c r="F182" s="1081"/>
      <c r="G182" s="1081"/>
      <c r="H182" s="1081"/>
      <c r="I182" s="1081"/>
      <c r="J182" s="1081"/>
      <c r="K182" s="1081"/>
      <c r="L182" s="1081"/>
      <c r="M182" s="1093"/>
      <c r="X182"/>
      <c r="Y182"/>
      <c r="Z182"/>
      <c r="AA182"/>
      <c r="AB182"/>
      <c r="AC182"/>
    </row>
    <row r="183" spans="1:29">
      <c r="A183" s="1080"/>
      <c r="B183" s="1081"/>
      <c r="C183" s="1081"/>
      <c r="D183" s="1081"/>
      <c r="E183" s="1081"/>
      <c r="F183" s="1081"/>
      <c r="G183" s="1081"/>
      <c r="H183" s="1081"/>
      <c r="I183" s="1081"/>
      <c r="J183" s="1081"/>
      <c r="K183" s="1081"/>
      <c r="L183" s="1081"/>
      <c r="M183" s="1093"/>
      <c r="X183"/>
      <c r="Y183"/>
      <c r="Z183"/>
      <c r="AA183"/>
      <c r="AB183"/>
      <c r="AC183"/>
    </row>
    <row r="184" spans="1:29">
      <c r="A184" s="1080"/>
      <c r="B184" s="1081"/>
      <c r="C184" s="1081"/>
      <c r="D184" s="1081"/>
      <c r="E184" s="1081"/>
      <c r="F184" s="1081"/>
      <c r="G184" s="1081"/>
      <c r="H184" s="1081"/>
      <c r="I184" s="1081"/>
      <c r="J184" s="1081"/>
      <c r="K184" s="1081"/>
      <c r="L184" s="1081"/>
      <c r="M184" s="1093"/>
      <c r="X184"/>
      <c r="Y184"/>
      <c r="Z184"/>
      <c r="AA184"/>
      <c r="AB184"/>
      <c r="AC184"/>
    </row>
    <row r="185" spans="1:29">
      <c r="A185" s="1080"/>
      <c r="B185" s="1081"/>
      <c r="C185" s="1081"/>
      <c r="D185" s="1081"/>
      <c r="E185" s="1081"/>
      <c r="F185" s="1081"/>
      <c r="G185" s="1081"/>
      <c r="H185" s="1081"/>
      <c r="I185" s="1081"/>
      <c r="J185" s="1081"/>
      <c r="K185" s="1081"/>
      <c r="L185" s="1081"/>
      <c r="M185" s="1093"/>
      <c r="X185"/>
      <c r="Y185"/>
      <c r="Z185"/>
      <c r="AA185"/>
      <c r="AB185"/>
      <c r="AC185"/>
    </row>
    <row r="186" spans="1:29">
      <c r="A186" s="1080"/>
      <c r="B186" s="1081"/>
      <c r="C186" s="1081"/>
      <c r="D186" s="1081"/>
      <c r="E186" s="1081"/>
      <c r="F186" s="1081"/>
      <c r="G186" s="1081"/>
      <c r="H186" s="1081"/>
      <c r="I186" s="1081"/>
      <c r="J186" s="1081"/>
      <c r="K186" s="1081"/>
      <c r="L186" s="1081"/>
      <c r="M186" s="1093"/>
      <c r="X186"/>
      <c r="Y186"/>
      <c r="Z186"/>
      <c r="AA186"/>
      <c r="AB186"/>
      <c r="AC186"/>
    </row>
    <row r="187" spans="1:29">
      <c r="A187" s="1080"/>
      <c r="B187" s="1081"/>
      <c r="C187" s="1081"/>
      <c r="D187" s="1081"/>
      <c r="E187" s="1081"/>
      <c r="F187" s="1081"/>
      <c r="G187" s="1081"/>
      <c r="H187" s="1081"/>
      <c r="I187" s="1081"/>
      <c r="J187" s="1081"/>
      <c r="K187" s="1081"/>
      <c r="L187" s="1081"/>
      <c r="M187" s="1093"/>
      <c r="X187"/>
      <c r="Y187"/>
      <c r="Z187"/>
      <c r="AA187"/>
      <c r="AB187"/>
      <c r="AC187"/>
    </row>
    <row r="188" spans="1:29">
      <c r="A188" s="1080"/>
      <c r="B188" s="1081"/>
      <c r="C188" s="1081"/>
      <c r="D188" s="1081"/>
      <c r="E188" s="1081"/>
      <c r="F188" s="1081"/>
      <c r="G188" s="1081"/>
      <c r="H188" s="1081"/>
      <c r="I188" s="1081"/>
      <c r="J188" s="1081"/>
      <c r="K188" s="1081"/>
      <c r="L188" s="1081"/>
      <c r="M188" s="1093"/>
      <c r="X188"/>
      <c r="Y188"/>
      <c r="Z188"/>
      <c r="AA188"/>
      <c r="AB188"/>
      <c r="AC188"/>
    </row>
    <row r="189" spans="1:29">
      <c r="A189" s="1080"/>
      <c r="B189" s="1081"/>
      <c r="C189" s="1081"/>
      <c r="D189" s="1081"/>
      <c r="E189" s="1081"/>
      <c r="F189" s="1081"/>
      <c r="G189" s="1081"/>
      <c r="H189" s="1081"/>
      <c r="I189" s="1081"/>
      <c r="J189" s="1081"/>
      <c r="K189" s="1081"/>
      <c r="L189" s="1081"/>
      <c r="M189" s="1093"/>
      <c r="X189"/>
      <c r="Y189"/>
      <c r="Z189"/>
      <c r="AA189"/>
      <c r="AB189"/>
      <c r="AC189"/>
    </row>
    <row r="190" spans="1:29">
      <c r="A190" s="1080"/>
      <c r="B190" s="1081"/>
      <c r="C190" s="1081"/>
      <c r="D190" s="1081"/>
      <c r="E190" s="1081"/>
      <c r="F190" s="1081"/>
      <c r="G190" s="1081"/>
      <c r="H190" s="1081"/>
      <c r="I190" s="1081"/>
      <c r="J190" s="1081"/>
      <c r="K190" s="1081"/>
      <c r="L190" s="1081"/>
      <c r="M190" s="1093"/>
      <c r="X190"/>
      <c r="Y190"/>
      <c r="Z190"/>
      <c r="AA190"/>
      <c r="AB190"/>
      <c r="AC190"/>
    </row>
    <row r="191" spans="1:29">
      <c r="A191" s="1080"/>
      <c r="B191" s="1081"/>
      <c r="C191" s="1081"/>
      <c r="D191" s="1081"/>
      <c r="E191" s="1081"/>
      <c r="F191" s="1081"/>
      <c r="G191" s="1081"/>
      <c r="H191" s="1081"/>
      <c r="I191" s="1081"/>
      <c r="J191" s="1081"/>
      <c r="K191" s="1081"/>
      <c r="L191" s="1081"/>
      <c r="M191" s="1093"/>
      <c r="X191"/>
      <c r="Y191"/>
      <c r="Z191"/>
      <c r="AA191"/>
      <c r="AB191"/>
      <c r="AC191"/>
    </row>
    <row r="192" spans="1:29">
      <c r="A192" s="1080"/>
      <c r="B192" s="1081"/>
      <c r="C192" s="1081"/>
      <c r="D192" s="1081"/>
      <c r="E192" s="1081"/>
      <c r="F192" s="1081"/>
      <c r="G192" s="1081"/>
      <c r="H192" s="1081"/>
      <c r="I192" s="1081"/>
      <c r="J192" s="1081"/>
      <c r="K192" s="1081"/>
      <c r="L192" s="1081"/>
      <c r="M192" s="1093"/>
      <c r="X192"/>
      <c r="Y192"/>
      <c r="Z192"/>
      <c r="AA192"/>
      <c r="AB192"/>
      <c r="AC192"/>
    </row>
  </sheetData>
  <mergeCells count="13">
    <mergeCell ref="B51:C51"/>
    <mergeCell ref="D51:D52"/>
    <mergeCell ref="E51:E52"/>
    <mergeCell ref="A51:A52"/>
    <mergeCell ref="AB1:AB4"/>
    <mergeCell ref="A48:B48"/>
    <mergeCell ref="A47:B47"/>
    <mergeCell ref="A46:B46"/>
    <mergeCell ref="A45:B45"/>
    <mergeCell ref="A44:B44"/>
    <mergeCell ref="A43:B43"/>
    <mergeCell ref="A42:B42"/>
    <mergeCell ref="A41:B41"/>
  </mergeCells>
  <conditionalFormatting sqref="A5:A36">
    <cfRule type="expression" dxfId="0" priority="2">
      <formula>IF(ISBLANK(A5),FALSE,OR(WEEKDAY(A5)=7,WEEKDAY(A5)=1))</formula>
    </cfRule>
  </conditionalFormatting>
  <pageMargins left="0.7" right="0.7" top="0.75" bottom="0.75" header="0.3" footer="0.3"/>
  <customProperties>
    <customPr name="EpmWorksheetKeyString_GU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241C5A64D6C7A4D941A1EF6897EE65C" ma:contentTypeVersion="1" ma:contentTypeDescription="Create a new document." ma:contentTypeScope="" ma:versionID="7a9dc3e747177421599439b7d2711125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a2685c9d1f5b05f99ded5a2069e5381f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หัวข้อการประชุม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7713282-9482-46BA-96F4-E3768956F41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244D34B-753B-4282-B088-A7E6141225A6}">
  <ds:schemaRefs>
    <ds:schemaRef ds:uri="http://schemas.microsoft.com/office/2006/metadata/properties"/>
    <ds:schemaRef ds:uri="http://schemas.openxmlformats.org/package/2006/metadata/core-properties"/>
    <ds:schemaRef ds:uri="http://schemas.microsoft.com/sharepoint/v3"/>
    <ds:schemaRef ds:uri="http://purl.org/dc/dcmitype/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AE1841F8-18B3-4F23-9CDB-0FE6066590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44</vt:i4>
      </vt:variant>
    </vt:vector>
  </HeadingPairs>
  <TitlesOfParts>
    <vt:vector size="59" baseType="lpstr">
      <vt:lpstr>Monthly Report </vt:lpstr>
      <vt:lpstr>Yield (Kae)</vt:lpstr>
      <vt:lpstr>Year 2019 Summary </vt:lpstr>
      <vt:lpstr>%Load daily</vt:lpstr>
      <vt:lpstr>Raw Material</vt:lpstr>
      <vt:lpstr>31 Dec 19 Holdup</vt:lpstr>
      <vt:lpstr>BPA Product </vt:lpstr>
      <vt:lpstr>Downtime</vt:lpstr>
      <vt:lpstr>BPA WH&lt;1&gt;</vt:lpstr>
      <vt:lpstr>PPCL By Product</vt:lpstr>
      <vt:lpstr>Chem</vt:lpstr>
      <vt:lpstr>Utility (meter)</vt:lpstr>
      <vt:lpstr>for ACCT AP</vt:lpstr>
      <vt:lpstr>For Accounting</vt:lpstr>
      <vt:lpstr>Back up</vt:lpstr>
      <vt:lpstr>Accru_Day</vt:lpstr>
      <vt:lpstr>Act_Accrday</vt:lpstr>
      <vt:lpstr>BillBFW</vt:lpstr>
      <vt:lpstr>BillCLW</vt:lpstr>
      <vt:lpstr>BillDW</vt:lpstr>
      <vt:lpstr>BillN2</vt:lpstr>
      <vt:lpstr>BillPWR</vt:lpstr>
      <vt:lpstr>BillS17</vt:lpstr>
      <vt:lpstr>BillS40</vt:lpstr>
      <vt:lpstr>Caldr</vt:lpstr>
      <vt:lpstr>CLW_PHI</vt:lpstr>
      <vt:lpstr>CLW_PHI_to</vt:lpstr>
      <vt:lpstr>CPTABFW</vt:lpstr>
      <vt:lpstr>CPTACLW</vt:lpstr>
      <vt:lpstr>CPTADW</vt:lpstr>
      <vt:lpstr>CPTAN2</vt:lpstr>
      <vt:lpstr>CPTAPWR</vt:lpstr>
      <vt:lpstr>CPTAS17</vt:lpstr>
      <vt:lpstr>CPTAS40</vt:lpstr>
      <vt:lpstr>N2_PHI</vt:lpstr>
      <vt:lpstr>OPEX_BFW</vt:lpstr>
      <vt:lpstr>OPEX_CLW</vt:lpstr>
      <vt:lpstr>OPEX_DW</vt:lpstr>
      <vt:lpstr>OPEX_N2</vt:lpstr>
      <vt:lpstr>OPEX_PWR</vt:lpstr>
      <vt:lpstr>OPEX_S17</vt:lpstr>
      <vt:lpstr>OPEX_S40</vt:lpstr>
      <vt:lpstr>OPSDBFW</vt:lpstr>
      <vt:lpstr>OPSDCLW</vt:lpstr>
      <vt:lpstr>OPSDDW</vt:lpstr>
      <vt:lpstr>OPSDN2</vt:lpstr>
      <vt:lpstr>OPSDPW</vt:lpstr>
      <vt:lpstr>OPSDS17</vt:lpstr>
      <vt:lpstr>OPSDS40</vt:lpstr>
      <vt:lpstr>'%Load daily'!Print_Area</vt:lpstr>
      <vt:lpstr>'PPCL By Product'!Print_Area</vt:lpstr>
      <vt:lpstr>'Raw Material'!Print_Area</vt:lpstr>
      <vt:lpstr>'BPA Product '!Print_Titles</vt:lpstr>
      <vt:lpstr>'BPA WH&lt;1&gt;'!Print_Titles</vt:lpstr>
      <vt:lpstr>Chem!Print_Titles</vt:lpstr>
      <vt:lpstr>PWR_PHI</vt:lpstr>
      <vt:lpstr>Roll_Updt</vt:lpstr>
      <vt:lpstr>S3_PHI</vt:lpstr>
      <vt:lpstr>YearUpdate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ppcl510093</dc:creator>
  <cp:lastModifiedBy>From PPCL Technical Team</cp:lastModifiedBy>
  <cp:lastPrinted>2018-06-01T08:19:40Z</cp:lastPrinted>
  <dcterms:created xsi:type="dcterms:W3CDTF">2011-10-06T01:39:25Z</dcterms:created>
  <dcterms:modified xsi:type="dcterms:W3CDTF">2020-01-03T14:54:31Z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0x0101008241C5A64D6C7A4D941A1EF6897EE65C</vt:lpwstr>
  </property>
</Properties>
</file>