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ib\Documents\Chandra\DILIPHO\for masha\Submission PJ 062022\"/>
    </mc:Choice>
  </mc:AlternateContent>
  <xr:revisionPtr revIDLastSave="0" documentId="13_ncr:1_{E6DBA7C2-F936-4979-8432-72D212392E1D}" xr6:coauthVersionLast="36" xr6:coauthVersionMax="36" xr10:uidLastSave="{00000000-0000-0000-0000-000000000000}"/>
  <bookViews>
    <workbookView xWindow="0" yWindow="0" windowWidth="27156" windowHeight="1122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Sheet1!$A$1:$T$34</definedName>
    <definedName name="_xlnm.Print_Area" localSheetId="1">Sheet2!$A$1:$V$54</definedName>
    <definedName name="solver_adj" localSheetId="0" hidden="1">Sheet1!$B$20</definedName>
    <definedName name="solver_cvg" localSheetId="0" hidden="1">0.0000001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Sheet1!$B$20</definedName>
    <definedName name="solver_lhs10" localSheetId="0" hidden="1">Sheet1!$P$22</definedName>
    <definedName name="solver_lhs11" localSheetId="0" hidden="1">Sheet1!$P$26</definedName>
    <definedName name="solver_lhs2" localSheetId="0" hidden="1">Sheet1!$B$20</definedName>
    <definedName name="solver_lhs3" localSheetId="0" hidden="1">Sheet1!$B$21</definedName>
    <definedName name="solver_lhs4" localSheetId="0" hidden="1">Sheet1!$B$21</definedName>
    <definedName name="solver_lhs5" localSheetId="0" hidden="1">Sheet1!$K$27</definedName>
    <definedName name="solver_lhs6" localSheetId="0" hidden="1">Sheet1!$O$12</definedName>
    <definedName name="solver_lhs7" localSheetId="0" hidden="1">Sheet1!$O$22</definedName>
    <definedName name="solver_lhs8" localSheetId="0" hidden="1">Sheet1!$O$23</definedName>
    <definedName name="solver_lhs9" localSheetId="0" hidden="1">Sheet1!$P$11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11</definedName>
    <definedName name="solver_nwt" localSheetId="0" hidden="1">1</definedName>
    <definedName name="solver_opt" localSheetId="0" hidden="1">Sheet1!$BB$5</definedName>
    <definedName name="solver_pre" localSheetId="0" hidden="1">0.0000001</definedName>
    <definedName name="solver_rbv" localSheetId="0" hidden="1">2</definedName>
    <definedName name="solver_rel1" localSheetId="0" hidden="1">1</definedName>
    <definedName name="solver_rel10" localSheetId="0" hidden="1">3</definedName>
    <definedName name="solver_rel11" localSheetId="0" hidden="1">3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0.99</definedName>
    <definedName name="solver_rhs10" localSheetId="0" hidden="1">0</definedName>
    <definedName name="solver_rhs11" localSheetId="0" hidden="1">0</definedName>
    <definedName name="solver_rhs2" localSheetId="0" hidden="1">0.0001</definedName>
    <definedName name="solver_rhs3" localSheetId="0" hidden="1">0.99</definedName>
    <definedName name="solver_rhs4" localSheetId="0" hidden="1">0.0001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180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v0j">[1]Input!$B$9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4" i="1" l="1"/>
  <c r="W37" i="1" l="1"/>
  <c r="X38" i="1" s="1"/>
  <c r="W45" i="1"/>
  <c r="W43" i="1"/>
  <c r="W46" i="1" s="1"/>
  <c r="X48" i="1"/>
  <c r="X55" i="1" l="1"/>
  <c r="W26" i="1"/>
  <c r="G22" i="1"/>
  <c r="W23" i="1" l="1"/>
  <c r="H22" i="1"/>
  <c r="H9" i="1" l="1"/>
  <c r="G9" i="1"/>
  <c r="O16" i="1" l="1"/>
  <c r="O15" i="1"/>
  <c r="P9" i="1"/>
  <c r="O9" i="1" l="1"/>
  <c r="F35" i="2" s="1"/>
  <c r="Q35" i="2"/>
  <c r="W9" i="1" l="1"/>
  <c r="O14" i="1"/>
  <c r="O13" i="1" s="1"/>
  <c r="G6" i="1" l="1"/>
  <c r="E3" i="2" s="1"/>
  <c r="G8" i="1" l="1"/>
  <c r="H6" i="1"/>
  <c r="G11" i="1"/>
  <c r="G12" i="1" s="1"/>
  <c r="G13" i="1" s="1"/>
  <c r="G14" i="1"/>
  <c r="G7" i="1"/>
  <c r="H14" i="1"/>
  <c r="H7" i="1"/>
  <c r="H8" i="1" l="1"/>
  <c r="H10" i="1" s="1"/>
  <c r="P3" i="2"/>
  <c r="G10" i="1"/>
  <c r="H11" i="1"/>
  <c r="H12" i="1" s="1"/>
  <c r="H13" i="1" s="1"/>
  <c r="H16" i="1" s="1"/>
  <c r="Q8" i="2" s="1"/>
  <c r="G15" i="1"/>
  <c r="B6" i="2" s="1"/>
  <c r="G16" i="1"/>
  <c r="F7" i="2" s="1"/>
  <c r="G18" i="1" l="1"/>
  <c r="G17" i="1"/>
  <c r="H15" i="1"/>
  <c r="E6" i="2" l="1"/>
  <c r="H18" i="1"/>
  <c r="H20" i="1" s="1"/>
  <c r="M7" i="2"/>
  <c r="G21" i="1"/>
  <c r="G20" i="1"/>
  <c r="G19" i="1"/>
  <c r="G12" i="2" s="1"/>
  <c r="H17" i="1"/>
  <c r="P6" i="2" s="1"/>
  <c r="X44" i="1" l="1"/>
  <c r="T6" i="2"/>
  <c r="I6" i="2"/>
  <c r="H19" i="1"/>
  <c r="R13" i="2" s="1"/>
  <c r="H21" i="1"/>
  <c r="P16" i="1"/>
  <c r="O22" i="1"/>
  <c r="G10" i="2"/>
  <c r="K17" i="1"/>
  <c r="R10" i="2" l="1"/>
  <c r="K16" i="1"/>
  <c r="V20" i="1" l="1"/>
  <c r="W20" i="1"/>
  <c r="X20" i="1"/>
  <c r="Y20" i="1" l="1"/>
  <c r="P15" i="1" s="1"/>
  <c r="V22" i="1" l="1"/>
  <c r="Y21" i="1"/>
  <c r="K7" i="1"/>
  <c r="W18" i="1"/>
  <c r="K8" i="1" l="1"/>
  <c r="K5" i="1" s="1"/>
  <c r="P6" i="1"/>
  <c r="X52" i="1" l="1"/>
  <c r="K12" i="1"/>
  <c r="Q50" i="2" s="1"/>
  <c r="K6" i="1"/>
  <c r="W6" i="1"/>
  <c r="P45" i="2"/>
  <c r="P7" i="1"/>
  <c r="P14" i="1" s="1"/>
  <c r="P13" i="1" s="1"/>
  <c r="K13" i="1"/>
  <c r="K10" i="1"/>
  <c r="X41" i="1" l="1"/>
  <c r="X35" i="1"/>
  <c r="K11" i="1"/>
  <c r="T46" i="2" s="1"/>
  <c r="N39" i="2"/>
  <c r="P8" i="1"/>
  <c r="O8" i="1" s="1"/>
  <c r="W7" i="1"/>
  <c r="N45" i="2"/>
  <c r="W27" i="1"/>
  <c r="K14" i="1"/>
  <c r="K9" i="1" l="1"/>
  <c r="W21" i="1" s="1"/>
  <c r="W8" i="1"/>
  <c r="X30" i="1"/>
  <c r="X31" i="1" s="1"/>
  <c r="W15" i="1" s="1"/>
  <c r="O24" i="1" l="1"/>
  <c r="V21" i="1" s="1"/>
  <c r="X21" i="1"/>
  <c r="P10" i="1"/>
  <c r="T35" i="2" s="1"/>
  <c r="O11" i="1" l="1"/>
  <c r="I20" i="2"/>
  <c r="P12" i="1"/>
  <c r="P23" i="1" s="1"/>
  <c r="T22" i="1"/>
  <c r="K19" i="2" s="1"/>
  <c r="K27" i="1"/>
  <c r="O10" i="1"/>
  <c r="C36" i="2" s="1"/>
  <c r="P11" i="1"/>
  <c r="S20" i="2" l="1"/>
  <c r="N24" i="2"/>
  <c r="E20" i="2"/>
  <c r="R39" i="2"/>
  <c r="T21" i="1"/>
  <c r="K34" i="2" s="1"/>
  <c r="K15" i="1"/>
  <c r="T7" i="1" s="1"/>
  <c r="T23" i="1"/>
  <c r="K22" i="2" s="1"/>
  <c r="K28" i="1"/>
  <c r="L25" i="2" s="1"/>
  <c r="P28" i="1"/>
  <c r="K26" i="1"/>
  <c r="P22" i="1" s="1"/>
  <c r="O12" i="1"/>
  <c r="T8" i="1"/>
  <c r="O23" i="1" l="1"/>
  <c r="T11" i="1"/>
  <c r="T5" i="1"/>
  <c r="T15" i="1"/>
  <c r="W10" i="1"/>
  <c r="O25" i="1"/>
  <c r="W16" i="1" s="1"/>
  <c r="T19" i="1"/>
  <c r="T6" i="1" s="1"/>
  <c r="G20" i="2"/>
  <c r="E40" i="2"/>
  <c r="T20" i="1"/>
  <c r="K37" i="2" s="1"/>
  <c r="O28" i="1"/>
  <c r="O27" i="1" l="1"/>
  <c r="T12" i="1" s="1"/>
  <c r="T9" i="1"/>
  <c r="P25" i="1"/>
  <c r="P25" i="2"/>
  <c r="T14" i="1"/>
  <c r="T24" i="1"/>
  <c r="T26" i="1" s="1"/>
  <c r="W12" i="1" s="1"/>
  <c r="P24" i="1"/>
  <c r="P26" i="1" s="1"/>
  <c r="T25" i="1"/>
  <c r="W11" i="1"/>
  <c r="W24" i="1"/>
  <c r="X24" i="1" s="1"/>
  <c r="K46" i="2"/>
  <c r="T10" i="1"/>
  <c r="P27" i="1" l="1"/>
  <c r="T13" i="1"/>
  <c r="W13" i="1"/>
  <c r="K28" i="2"/>
  <c r="Q20" i="2"/>
  <c r="T27" i="1"/>
  <c r="T28" i="1" s="1"/>
  <c r="K31" i="2"/>
  <c r="W14" i="1" l="1"/>
  <c r="K25" i="2"/>
  <c r="W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uib</author>
    <author>Chandra Bellasio</author>
  </authors>
  <commentList>
    <comment ref="A2" authorId="0" shapeId="0" xr:uid="{12C01249-A83C-426D-8B3D-CA8DC3765FC4}">
      <text>
        <r>
          <rPr>
            <sz val="11"/>
            <color indexed="81"/>
            <rFont val="Tahoma"/>
            <family val="2"/>
          </rPr>
          <t>To use the model, just fill in cells with red numbers and white bacground. All calculations are automatic.</t>
        </r>
      </text>
    </comment>
    <comment ref="A4" authorId="0" shapeId="0" xr:uid="{253040A7-BD0A-41C7-80A5-628666A605D1}">
      <text>
        <r>
          <rPr>
            <sz val="11"/>
            <color indexed="81"/>
            <rFont val="Tahoma"/>
            <family val="2"/>
          </rPr>
          <t xml:space="preserve">Photosynthetic photon flux density 
µmol m-2 s-1
</t>
        </r>
      </text>
    </comment>
    <comment ref="A5" authorId="0" shapeId="0" xr:uid="{4F9A208F-5299-4533-9A66-554A1CF1551B}">
      <text>
        <r>
          <rPr>
            <sz val="11"/>
            <color indexed="81"/>
            <rFont val="Tahoma"/>
            <family val="2"/>
          </rPr>
          <t>CO2 concentration in M cells 
µmol mol-1</t>
        </r>
      </text>
    </comment>
    <comment ref="A6" authorId="0" shapeId="0" xr:uid="{1E5F9765-CD07-42F1-9E36-183CD5BAC069}">
      <text>
        <r>
          <rPr>
            <sz val="11"/>
            <color indexed="81"/>
            <rFont val="Tahoma"/>
            <family val="2"/>
          </rPr>
          <t>O2 concentration in M cells
µmol mol-1</t>
        </r>
      </text>
    </comment>
    <comment ref="A7" authorId="0" shapeId="0" xr:uid="{BD2C0574-7ADA-45A2-A2A9-BAECFB223360}">
      <text>
        <r>
          <rPr>
            <sz val="11"/>
            <color indexed="81"/>
            <rFont val="Tahoma"/>
            <family val="2"/>
          </rPr>
          <t>Bundle sheath conductance to CO2 diffusion
mmol m-2 s-1</t>
        </r>
      </text>
    </comment>
    <comment ref="A8" authorId="0" shapeId="0" xr:uid="{CCD98194-FC3A-4883-B2C9-B348E9E3B49C}">
      <text>
        <r>
          <rPr>
            <sz val="11"/>
            <color indexed="81"/>
            <rFont val="Tahoma"/>
            <family val="2"/>
          </rPr>
          <t>Half the reciprocal Rubisco specificity</t>
        </r>
      </text>
    </comment>
    <comment ref="A9" authorId="0" shapeId="0" xr:uid="{65C038B9-36B9-484F-8556-1DD4C4BA34CD}">
      <text>
        <r>
          <rPr>
            <sz val="11"/>
            <color indexed="81"/>
            <rFont val="Tahoma"/>
            <family val="2"/>
          </rPr>
          <t>Respiration in the light 
µmol m-2 s-1</t>
        </r>
      </text>
    </comment>
    <comment ref="A10" authorId="0" shapeId="0" xr:uid="{E3ED1E8D-C4D1-41F6-AFA7-A1AC378ED884}">
      <text>
        <r>
          <rPr>
            <sz val="11"/>
            <color indexed="81"/>
            <rFont val="Tahoma"/>
            <family val="2"/>
          </rPr>
          <t>Fraction of light absorption in BS cells relative to M cells</t>
        </r>
      </text>
    </comment>
    <comment ref="A11" authorId="0" shapeId="0" xr:uid="{AD0364E4-88DF-4B6A-B540-FC20974B8BB0}">
      <text>
        <r>
          <rPr>
            <sz val="11"/>
            <color indexed="81"/>
            <rFont val="Tahoma"/>
            <family val="2"/>
          </rPr>
          <t>Yield of PSII extrapolated under zero PPFD and infinite CM</t>
        </r>
      </text>
    </comment>
    <comment ref="A12" authorId="0" shapeId="0" xr:uid="{C2D0664A-FBFB-4D87-A703-1DDA4A2D89C4}">
      <text>
        <r>
          <rPr>
            <sz val="11"/>
            <color indexed="81"/>
            <rFont val="Tahoma"/>
            <family val="2"/>
          </rPr>
          <t xml:space="preserve">Combined energy conversion coefficient of incident light in ATP when fCyc=0 </t>
        </r>
        <r>
          <rPr>
            <b/>
            <sz val="11"/>
            <color indexed="81"/>
            <rFont val="Tahoma"/>
            <family val="2"/>
          </rPr>
          <t xml:space="preserve">
</t>
        </r>
      </text>
    </comment>
    <comment ref="A13" authorId="0" shapeId="0" xr:uid="{F4A51284-00E5-48F8-BF8C-96A5538C7562}">
      <text>
        <r>
          <rPr>
            <sz val="11"/>
            <color indexed="81"/>
            <rFont val="Tahoma"/>
            <family val="2"/>
          </rPr>
          <t xml:space="preserve">Fraction of J1 following used by nitrate reduction in M cells </t>
        </r>
      </text>
    </comment>
    <comment ref="A14" authorId="0" shapeId="0" xr:uid="{80C7092E-0DF8-44D4-B6D7-F5D97A3C347D}">
      <text>
        <r>
          <rPr>
            <sz val="11"/>
            <color indexed="81"/>
            <rFont val="Tahoma"/>
            <family val="2"/>
          </rPr>
          <t>Fraction of J1 following used by nitrate reduction in BS cells</t>
        </r>
      </text>
    </comment>
    <comment ref="A15" authorId="0" shapeId="0" xr:uid="{FC8C856E-4A19-40BC-9748-6F34F2BBB709}">
      <text>
        <r>
          <rPr>
            <sz val="11"/>
            <color indexed="81"/>
            <rFont val="Tahoma"/>
            <family val="2"/>
          </rPr>
          <t>Fraction of J1 going through the Q-cycle</t>
        </r>
      </text>
    </comment>
    <comment ref="A16" authorId="0" shapeId="0" xr:uid="{E4F68415-E6DB-41DF-B642-1EF1D98E59E9}">
      <text>
        <r>
          <rPr>
            <sz val="11"/>
            <color indexed="81"/>
            <rFont val="Tahoma"/>
            <family val="2"/>
          </rPr>
          <t>Stoichiometry of ATP synthase: protons required to synthesize ATP 
h+/ATP</t>
        </r>
      </text>
    </comment>
    <comment ref="A17" authorId="0" shapeId="0" xr:uid="{40891AE3-AB3F-41D3-9860-A26F7841D324}">
      <text>
        <r>
          <rPr>
            <sz val="11"/>
            <color indexed="81"/>
            <rFont val="Tahoma"/>
            <family val="2"/>
          </rPr>
          <t>Yield of PSI extrapolated under zero PPFD</t>
        </r>
      </text>
    </comment>
    <comment ref="A18" authorId="0" shapeId="0" xr:uid="{6E365974-222D-409A-B210-186A7636141F}">
      <text>
        <r>
          <rPr>
            <sz val="11"/>
            <color indexed="81"/>
            <rFont val="Tahoma"/>
            <family val="2"/>
          </rPr>
          <t>Fraction of CEF through the NDH complex in the M</t>
        </r>
      </text>
    </comment>
    <comment ref="A19" authorId="0" shapeId="0" xr:uid="{937DA5D7-68AE-4EE0-AE67-363223EDF9B4}">
      <text>
        <r>
          <rPr>
            <sz val="11"/>
            <color indexed="81"/>
            <rFont val="Tahoma"/>
            <family val="2"/>
          </rPr>
          <t>Fraction of CEF through NDH in BS cells</t>
        </r>
      </text>
    </comment>
    <comment ref="A20" authorId="0" shapeId="0" xr:uid="{E9AACDB2-9486-42F6-871B-0BBFCFD515A6}">
      <text>
        <r>
          <rPr>
            <sz val="11"/>
            <color indexed="81"/>
            <rFont val="Tahoma"/>
            <family val="2"/>
          </rPr>
          <t>Fraction of J1 following CEF in M cells</t>
        </r>
      </text>
    </comment>
    <comment ref="A21" authorId="0" shapeId="0" xr:uid="{3F5C5C7E-56BD-49A6-BFAD-F9731E1F9DD3}">
      <text>
        <r>
          <rPr>
            <sz val="11"/>
            <color indexed="81"/>
            <rFont val="Tahoma"/>
            <family val="2"/>
          </rPr>
          <t>Fraction of J1 following CEF in BS cells</t>
        </r>
      </text>
    </comment>
    <comment ref="A22" authorId="0" shapeId="0" xr:uid="{49FE8A3A-EFA9-4A18-8DE2-FA70B1ECCE6F}">
      <text>
        <r>
          <rPr>
            <sz val="11"/>
            <color indexed="81"/>
            <rFont val="Tahoma"/>
            <family val="2"/>
          </rPr>
          <t>Slope of the non–rectangular hyperbola used to model f(CO2)</t>
        </r>
      </text>
    </comment>
    <comment ref="A23" authorId="0" shapeId="0" xr:uid="{D1C02AFD-1991-4705-B0A0-5C4C6A93FB92}">
      <text>
        <r>
          <rPr>
            <sz val="11"/>
            <color indexed="81"/>
            <rFont val="Tahoma"/>
            <family val="2"/>
          </rPr>
          <t>y-intercept of the non–rectangular hyperbola used to model f(CO2)</t>
        </r>
      </text>
    </comment>
    <comment ref="A24" authorId="0" shapeId="0" xr:uid="{A6624FCD-9DF3-4A75-95EA-F758776C2FDC}">
      <text>
        <r>
          <rPr>
            <sz val="11"/>
            <color indexed="81"/>
            <rFont val="Tahoma"/>
            <family val="2"/>
          </rPr>
          <t>Curvature of the non–rectangular hyperbola used to model f(CO2)</t>
        </r>
      </text>
    </comment>
    <comment ref="A25" authorId="0" shapeId="0" xr:uid="{A0A428D5-221F-40B2-B759-DCA8BDEA8784}">
      <text>
        <r>
          <rPr>
            <sz val="11"/>
            <color indexed="81"/>
            <rFont val="Tahoma"/>
            <family val="2"/>
          </rPr>
          <t>Slope of the non–rectangular hyperbola used to model f(PPFD)</t>
        </r>
      </text>
    </comment>
    <comment ref="A26" authorId="0" shapeId="0" xr:uid="{89F1B0BF-133D-4842-B5F1-218F9C85C60A}">
      <text>
        <r>
          <rPr>
            <sz val="11"/>
            <color indexed="81"/>
            <rFont val="Tahoma"/>
            <family val="2"/>
          </rPr>
          <t>y-intercept of the non–rectangular hyperbola used to model f(PPFD)</t>
        </r>
      </text>
    </comment>
    <comment ref="A27" authorId="0" shapeId="0" xr:uid="{724680B5-1ECF-4405-852F-4CFB53086522}">
      <text>
        <r>
          <rPr>
            <sz val="11"/>
            <color indexed="81"/>
            <rFont val="Tahoma"/>
            <family val="2"/>
          </rPr>
          <t>Curvature of the non–rectangular hyperbola used to model f(PPFD)</t>
        </r>
      </text>
    </comment>
    <comment ref="A28" authorId="0" shapeId="0" xr:uid="{7FF45DC1-D156-4C68-80B5-EA3F0D3B6B5A}">
      <text>
        <r>
          <rPr>
            <sz val="11"/>
            <color indexed="81"/>
            <rFont val="Tahoma"/>
            <family val="2"/>
          </rPr>
          <t>Fraction of PEP produced by PEPCK that is hydrolysed</t>
        </r>
      </text>
    </comment>
    <comment ref="A29" authorId="0" shapeId="0" xr:uid="{F9DC8E12-BA43-4410-A9C9-3FDE7199EF3C}">
      <text>
        <r>
          <rPr>
            <sz val="11"/>
            <color indexed="81"/>
            <rFont val="Tahoma"/>
            <family val="2"/>
          </rPr>
          <t>Fraction of the activity of PECK relative to the maximum (that is the fraction of JATP BS not used by the RPP and PCO cycle)</t>
        </r>
      </text>
    </comment>
    <comment ref="A30" authorId="0" shapeId="0" xr:uid="{2523899A-66E2-4BAE-8AFE-A29540F0483E}">
      <text>
        <r>
          <rPr>
            <sz val="11"/>
            <color indexed="81"/>
            <rFont val="Tahoma"/>
            <family val="2"/>
          </rPr>
          <t>fraction of respiration in the light in BS cells relative to leaf-level</t>
        </r>
      </text>
    </comment>
    <comment ref="A31" authorId="0" shapeId="0" xr:uid="{C815A025-9723-4CF9-9191-30A5905C2C71}">
      <text>
        <r>
          <rPr>
            <sz val="11"/>
            <color indexed="81"/>
            <rFont val="Tahoma"/>
            <family val="2"/>
          </rPr>
          <t>Fraction of carbohydrate synthesis in BS cells</t>
        </r>
      </text>
    </comment>
    <comment ref="A32" authorId="0" shapeId="0" xr:uid="{165A2C42-2243-415C-8687-AD459CBECB5E}">
      <text>
        <r>
          <rPr>
            <sz val="11"/>
            <color indexed="81"/>
            <rFont val="Tahoma"/>
            <family val="2"/>
          </rPr>
          <t>Fraction of M activity of MDH, relative to its maximum, defines the transition between NAD-ME and NADP-ME</t>
        </r>
      </text>
    </comment>
    <comment ref="W36" authorId="1" shapeId="0" xr:uid="{00000000-0006-0000-0000-000001000000}">
      <text>
        <r>
          <rPr>
            <b/>
            <sz val="8"/>
            <color indexed="81"/>
            <rFont val="Tahoma"/>
            <family val="2"/>
          </rPr>
          <t>Chandra Bellasio:</t>
        </r>
        <r>
          <rPr>
            <sz val="8"/>
            <color indexed="81"/>
            <rFont val="Tahoma"/>
            <family val="2"/>
          </rPr>
          <t xml:space="preserve">
This is the PPFD at which Quantum yield will be calculated</t>
        </r>
      </text>
    </comment>
    <comment ref="W37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>Chandra Bellasio:</t>
        </r>
        <r>
          <rPr>
            <sz val="8"/>
            <color indexed="81"/>
            <rFont val="Tahoma"/>
            <family val="2"/>
          </rPr>
          <t xml:space="preserve">
this value is slightly higher than the one in the cell above</t>
        </r>
      </text>
    </comment>
    <comment ref="W53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Chandra Bellasio:</t>
        </r>
        <r>
          <rPr>
            <sz val="8"/>
            <color indexed="81"/>
            <rFont val="Tahoma"/>
            <family val="2"/>
          </rPr>
          <t xml:space="preserve">
This is the Cm at which CE is calculated </t>
        </r>
      </text>
    </comment>
    <comment ref="W54" authorId="1" shapeId="0" xr:uid="{00000000-0006-0000-0000-000004000000}">
      <text>
        <r>
          <rPr>
            <b/>
            <sz val="8"/>
            <color indexed="81"/>
            <rFont val="Tahoma"/>
            <family val="2"/>
          </rPr>
          <t>Chandra Bellasio:</t>
        </r>
        <r>
          <rPr>
            <sz val="8"/>
            <color indexed="81"/>
            <rFont val="Tahoma"/>
            <family val="2"/>
          </rPr>
          <t xml:space="preserve">
this value is slightly higher than the one in the cell above</t>
        </r>
      </text>
    </comment>
  </commentList>
</comments>
</file>

<file path=xl/sharedStrings.xml><?xml version="1.0" encoding="utf-8"?>
<sst xmlns="http://schemas.openxmlformats.org/spreadsheetml/2006/main" count="152" uniqueCount="135">
  <si>
    <t>Output</t>
  </si>
  <si>
    <t>M</t>
  </si>
  <si>
    <t>BS</t>
  </si>
  <si>
    <t>Iinc</t>
  </si>
  <si>
    <t>x</t>
  </si>
  <si>
    <r>
      <rPr>
        <i/>
        <sz val="11"/>
        <color theme="1"/>
        <rFont val="Arial"/>
        <family val="2"/>
      </rPr>
      <t>Y(J)</t>
    </r>
    <r>
      <rPr>
        <vertAlign val="subscript"/>
        <sz val="11"/>
        <color theme="1"/>
        <rFont val="Arial"/>
        <family val="2"/>
      </rPr>
      <t>LL</t>
    </r>
  </si>
  <si>
    <t>μmol m-2 s-1</t>
  </si>
  <si>
    <t>μmol mol-1</t>
  </si>
  <si>
    <t>Cm</t>
  </si>
  <si>
    <t>L</t>
  </si>
  <si>
    <t>γ*</t>
  </si>
  <si>
    <t>A</t>
  </si>
  <si>
    <t>Input</t>
  </si>
  <si>
    <t>Overall rates</t>
  </si>
  <si>
    <t>BS/M partitioning</t>
  </si>
  <si>
    <t>Ratios</t>
  </si>
  <si>
    <r>
      <t>R</t>
    </r>
    <r>
      <rPr>
        <vertAlign val="subscript"/>
        <sz val="11"/>
        <color theme="1"/>
        <rFont val="Arial"/>
        <family val="2"/>
      </rPr>
      <t>LIGHT</t>
    </r>
  </si>
  <si>
    <t>GA</t>
  </si>
  <si>
    <r>
      <rPr>
        <i/>
        <sz val="11"/>
        <rFont val="Arial"/>
        <family val="2"/>
      </rPr>
      <t>ATP</t>
    </r>
    <r>
      <rPr>
        <vertAlign val="subscript"/>
        <sz val="11"/>
        <rFont val="Arial"/>
        <family val="2"/>
      </rPr>
      <t>TOT</t>
    </r>
    <r>
      <rPr>
        <sz val="11"/>
        <rFont val="Arial"/>
        <family val="2"/>
      </rPr>
      <t>/</t>
    </r>
    <r>
      <rPr>
        <i/>
        <sz val="11"/>
        <rFont val="Arial"/>
        <family val="2"/>
      </rPr>
      <t>GA</t>
    </r>
  </si>
  <si>
    <t>Check</t>
  </si>
  <si>
    <r>
      <rPr>
        <i/>
        <sz val="11"/>
        <color theme="1"/>
        <rFont val="Arial"/>
        <family val="2"/>
      </rPr>
      <t>V</t>
    </r>
    <r>
      <rPr>
        <vertAlign val="subscript"/>
        <sz val="11"/>
        <color theme="1"/>
        <rFont val="Arial"/>
        <family val="2"/>
      </rPr>
      <t>C</t>
    </r>
  </si>
  <si>
    <t>Vcm+Vcbs</t>
  </si>
  <si>
    <r>
      <rPr>
        <i/>
        <sz val="11"/>
        <color theme="1"/>
        <rFont val="Arial"/>
        <family val="2"/>
      </rPr>
      <t>V</t>
    </r>
    <r>
      <rPr>
        <vertAlign val="subscript"/>
        <sz val="11"/>
        <color theme="1"/>
        <rFont val="Arial"/>
        <family val="2"/>
      </rPr>
      <t>O</t>
    </r>
  </si>
  <si>
    <r>
      <rPr>
        <i/>
        <sz val="11"/>
        <rFont val="Arial"/>
        <family val="2"/>
      </rPr>
      <t>ATP</t>
    </r>
    <r>
      <rPr>
        <i/>
        <vertAlign val="subscript"/>
        <sz val="11"/>
        <rFont val="Arial"/>
        <family val="2"/>
      </rPr>
      <t>TOT</t>
    </r>
    <r>
      <rPr>
        <sz val="11"/>
        <rFont val="Arial"/>
        <family val="2"/>
      </rPr>
      <t>/</t>
    </r>
    <r>
      <rPr>
        <i/>
        <sz val="11"/>
        <rFont val="Arial"/>
        <family val="2"/>
      </rPr>
      <t>NADPH</t>
    </r>
    <r>
      <rPr>
        <vertAlign val="subscript"/>
        <sz val="11"/>
        <rFont val="Arial"/>
        <family val="2"/>
      </rPr>
      <t>TOT</t>
    </r>
  </si>
  <si>
    <t>Vom+Vobs</t>
  </si>
  <si>
    <t>GDC</t>
  </si>
  <si>
    <r>
      <rPr>
        <i/>
        <sz val="11"/>
        <rFont val="Arial"/>
        <family val="2"/>
      </rPr>
      <t>NADPH</t>
    </r>
    <r>
      <rPr>
        <vertAlign val="subscript"/>
        <sz val="11"/>
        <rFont val="Arial"/>
        <family val="2"/>
      </rPr>
      <t>BS</t>
    </r>
    <r>
      <rPr>
        <sz val="11"/>
        <rFont val="Arial"/>
        <family val="2"/>
      </rPr>
      <t>/</t>
    </r>
    <r>
      <rPr>
        <i/>
        <sz val="11"/>
        <rFont val="Arial"/>
        <family val="2"/>
      </rPr>
      <t>NADPH</t>
    </r>
    <r>
      <rPr>
        <vertAlign val="subscript"/>
        <sz val="11"/>
        <rFont val="Arial"/>
        <family val="2"/>
      </rPr>
      <t>TOT</t>
    </r>
  </si>
  <si>
    <t>GDCM+GDCBS</t>
  </si>
  <si>
    <r>
      <rPr>
        <i/>
        <sz val="11"/>
        <rFont val="Arial"/>
        <family val="2"/>
      </rPr>
      <t>NADPH</t>
    </r>
    <r>
      <rPr>
        <vertAlign val="subscript"/>
        <sz val="11"/>
        <rFont val="Arial"/>
        <family val="2"/>
      </rPr>
      <t>BS</t>
    </r>
    <r>
      <rPr>
        <sz val="11"/>
        <rFont val="Arial"/>
        <family val="2"/>
      </rPr>
      <t>/</t>
    </r>
    <r>
      <rPr>
        <i/>
        <sz val="11"/>
        <rFont val="Arial"/>
        <family val="2"/>
      </rPr>
      <t>NADPH</t>
    </r>
    <r>
      <rPr>
        <vertAlign val="subscript"/>
        <sz val="11"/>
        <rFont val="Arial"/>
        <family val="2"/>
      </rPr>
      <t>M</t>
    </r>
  </si>
  <si>
    <t>RlightM+RLIGHTBS</t>
  </si>
  <si>
    <t>DHAP entering RPP</t>
  </si>
  <si>
    <r>
      <rPr>
        <sz val="11"/>
        <color theme="1"/>
        <rFont val="Arial"/>
        <family val="2"/>
      </rPr>
      <t xml:space="preserve">Carb synthesis </t>
    </r>
    <r>
      <rPr>
        <i/>
        <sz val="11"/>
        <color theme="1"/>
        <rFont val="Arial"/>
        <family val="2"/>
      </rPr>
      <t>CS</t>
    </r>
  </si>
  <si>
    <r>
      <rPr>
        <i/>
        <sz val="11"/>
        <rFont val="Arial"/>
        <family val="2"/>
      </rPr>
      <t>ATP</t>
    </r>
    <r>
      <rPr>
        <vertAlign val="subscript"/>
        <sz val="11"/>
        <rFont val="Arial"/>
        <family val="2"/>
      </rPr>
      <t>BS</t>
    </r>
    <r>
      <rPr>
        <sz val="11"/>
        <rFont val="Arial"/>
        <family val="2"/>
      </rPr>
      <t>/</t>
    </r>
    <r>
      <rPr>
        <i/>
        <sz val="11"/>
        <rFont val="Arial"/>
        <family val="2"/>
      </rPr>
      <t>ATP</t>
    </r>
    <r>
      <rPr>
        <vertAlign val="subscript"/>
        <sz val="11"/>
        <rFont val="Arial"/>
        <family val="2"/>
      </rPr>
      <t>M</t>
    </r>
  </si>
  <si>
    <t>RuP phosphorylation</t>
  </si>
  <si>
    <t>PPDK</t>
  </si>
  <si>
    <r>
      <rPr>
        <i/>
        <sz val="11"/>
        <rFont val="Arial"/>
        <family val="2"/>
      </rPr>
      <t>ATP</t>
    </r>
    <r>
      <rPr>
        <vertAlign val="subscript"/>
        <sz val="11"/>
        <rFont val="Arial"/>
        <family val="2"/>
      </rPr>
      <t>BS</t>
    </r>
    <r>
      <rPr>
        <sz val="11"/>
        <rFont val="Arial"/>
        <family val="2"/>
      </rPr>
      <t>/</t>
    </r>
    <r>
      <rPr>
        <i/>
        <sz val="11"/>
        <rFont val="Arial"/>
        <family val="2"/>
      </rPr>
      <t>ATP</t>
    </r>
    <r>
      <rPr>
        <vertAlign val="subscript"/>
        <sz val="11"/>
        <rFont val="Arial"/>
        <family val="2"/>
      </rPr>
      <t>TOT</t>
    </r>
  </si>
  <si>
    <r>
      <rPr>
        <sz val="11"/>
        <color theme="1"/>
        <rFont val="Arial"/>
        <family val="2"/>
      </rPr>
      <t xml:space="preserve">PGA reduction </t>
    </r>
    <r>
      <rPr>
        <i/>
        <sz val="11"/>
        <color theme="1"/>
        <rFont val="Arial"/>
        <family val="2"/>
      </rPr>
      <t>PR</t>
    </r>
  </si>
  <si>
    <t>Amino Balance BS</t>
  </si>
  <si>
    <t>NADPH demand Tot</t>
  </si>
  <si>
    <t>Total C entering BS</t>
  </si>
  <si>
    <t>CCM</t>
  </si>
  <si>
    <t>ATP demand Tot</t>
  </si>
  <si>
    <t>ASP/MAL decarboxilation</t>
  </si>
  <si>
    <t>Total C exiting BS</t>
  </si>
  <si>
    <r>
      <rPr>
        <i/>
        <sz val="11"/>
        <color theme="1"/>
        <rFont val="Arial"/>
        <family val="2"/>
      </rPr>
      <t>V</t>
    </r>
    <r>
      <rPr>
        <vertAlign val="subscript"/>
        <sz val="11"/>
        <color theme="1"/>
        <rFont val="Arial"/>
        <family val="2"/>
      </rPr>
      <t>P</t>
    </r>
  </si>
  <si>
    <r>
      <rPr>
        <i/>
        <sz val="11"/>
        <rFont val="Arial"/>
        <family val="2"/>
      </rPr>
      <t>T</t>
    </r>
    <r>
      <rPr>
        <sz val="11"/>
        <rFont val="Arial"/>
        <family val="2"/>
      </rPr>
      <t>/</t>
    </r>
    <r>
      <rPr>
        <i/>
        <sz val="11"/>
        <rFont val="Arial"/>
        <family val="2"/>
      </rPr>
      <t>V</t>
    </r>
    <r>
      <rPr>
        <vertAlign val="subscript"/>
        <sz val="11"/>
        <rFont val="Arial"/>
        <family val="2"/>
      </rPr>
      <t>P</t>
    </r>
  </si>
  <si>
    <r>
      <t xml:space="preserve">Amino group rebalancing </t>
    </r>
    <r>
      <rPr>
        <i/>
        <sz val="11"/>
        <color theme="1"/>
        <rFont val="Arial"/>
        <family val="2"/>
      </rPr>
      <t>R</t>
    </r>
  </si>
  <si>
    <t>T+R</t>
  </si>
  <si>
    <t>C balance BS</t>
  </si>
  <si>
    <t>Fluxes</t>
  </si>
  <si>
    <r>
      <rPr>
        <sz val="11"/>
        <color theme="1"/>
        <rFont val="Arial"/>
        <family val="2"/>
      </rPr>
      <t>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BS→M</t>
    </r>
    <r>
      <rPr>
        <sz val="10"/>
        <color theme="1"/>
        <rFont val="Arial"/>
        <family val="2"/>
      </rPr>
      <t xml:space="preserve"> Leak rate</t>
    </r>
    <r>
      <rPr>
        <i/>
        <sz val="10"/>
        <color theme="1"/>
        <rFont val="Arial"/>
        <family val="2"/>
      </rPr>
      <t xml:space="preserve"> L</t>
    </r>
  </si>
  <si>
    <t>Reducing power balance</t>
  </si>
  <si>
    <t>DHAP M→BS</t>
  </si>
  <si>
    <t>PGA BS→M</t>
  </si>
  <si>
    <t>-</t>
  </si>
  <si>
    <t>MAL M→BS</t>
  </si>
  <si>
    <t>NADPH demand (excl. CCM)</t>
  </si>
  <si>
    <t>PEP BS→M</t>
  </si>
  <si>
    <t>MDH</t>
  </si>
  <si>
    <t>ASP M→BS</t>
  </si>
  <si>
    <r>
      <t>f</t>
    </r>
    <r>
      <rPr>
        <vertAlign val="subscript"/>
        <sz val="11"/>
        <color theme="1"/>
        <rFont val="Arial"/>
        <family val="2"/>
      </rPr>
      <t>RLIGHT</t>
    </r>
    <r>
      <rPr>
        <i/>
        <sz val="11"/>
        <color theme="1"/>
        <rFont val="Arial"/>
        <family val="2"/>
      </rPr>
      <t/>
    </r>
  </si>
  <si>
    <r>
      <rPr>
        <sz val="11"/>
        <color theme="1"/>
        <rFont val="Arial"/>
        <family val="2"/>
      </rPr>
      <t xml:space="preserve">Transamination </t>
    </r>
    <r>
      <rPr>
        <i/>
        <sz val="11"/>
        <color theme="1"/>
        <rFont val="Arial"/>
        <family val="2"/>
      </rPr>
      <t>T</t>
    </r>
  </si>
  <si>
    <t>GLY M→BS</t>
  </si>
  <si>
    <t>ME</t>
  </si>
  <si>
    <r>
      <t>SER BS→M =</t>
    </r>
    <r>
      <rPr>
        <i/>
        <sz val="11"/>
        <color theme="1"/>
        <rFont val="Arial"/>
        <family val="2"/>
      </rPr>
      <t>R</t>
    </r>
  </si>
  <si>
    <t>ALA BS→M</t>
  </si>
  <si>
    <r>
      <t>f</t>
    </r>
    <r>
      <rPr>
        <vertAlign val="subscript"/>
        <sz val="11"/>
        <color theme="1"/>
        <rFont val="Arial"/>
        <family val="2"/>
      </rPr>
      <t>CS</t>
    </r>
  </si>
  <si>
    <t>PEPCK</t>
  </si>
  <si>
    <t>PYR BS→M</t>
  </si>
  <si>
    <t>ATP demand</t>
  </si>
  <si>
    <t>Total fluxes</t>
  </si>
  <si>
    <t>C</t>
  </si>
  <si>
    <t>O</t>
  </si>
  <si>
    <t>NADPH potent. avail.</t>
  </si>
  <si>
    <t>Leakiness φ</t>
  </si>
  <si>
    <t>Light Reactions</t>
  </si>
  <si>
    <r>
      <t>V</t>
    </r>
    <r>
      <rPr>
        <vertAlign val="subscript"/>
        <sz val="11"/>
        <rFont val="Arial"/>
        <family val="2"/>
      </rPr>
      <t>C</t>
    </r>
  </si>
  <si>
    <r>
      <t>V</t>
    </r>
    <r>
      <rPr>
        <vertAlign val="subscript"/>
        <sz val="11"/>
        <rFont val="Arial"/>
        <family val="2"/>
      </rPr>
      <t>O</t>
    </r>
  </si>
  <si>
    <r>
      <rPr>
        <sz val="11"/>
        <rFont val="Arial"/>
        <family val="2"/>
      </rPr>
      <t xml:space="preserve">Carb synthesis </t>
    </r>
    <r>
      <rPr>
        <i/>
        <sz val="11"/>
        <rFont val="Arial"/>
        <family val="2"/>
      </rPr>
      <t>CS</t>
    </r>
    <r>
      <rPr>
        <vertAlign val="subscript"/>
        <sz val="11"/>
        <rFont val="Arial"/>
        <family val="2"/>
      </rPr>
      <t>TOT</t>
    </r>
  </si>
  <si>
    <r>
      <rPr>
        <sz val="11"/>
        <rFont val="Arial"/>
        <family val="2"/>
      </rPr>
      <t xml:space="preserve">PGA reduction </t>
    </r>
    <r>
      <rPr>
        <i/>
        <sz val="11"/>
        <rFont val="Arial"/>
        <family val="2"/>
      </rPr>
      <t>PR</t>
    </r>
    <r>
      <rPr>
        <vertAlign val="subscript"/>
        <sz val="11"/>
        <rFont val="Arial"/>
        <family val="2"/>
      </rPr>
      <t>TOT</t>
    </r>
  </si>
  <si>
    <r>
      <rPr>
        <i/>
        <sz val="11"/>
        <rFont val="Arial"/>
        <family val="2"/>
      </rPr>
      <t>GDC</t>
    </r>
    <r>
      <rPr>
        <vertAlign val="subscript"/>
        <sz val="11"/>
        <rFont val="Arial"/>
        <family val="2"/>
      </rPr>
      <t>TOT</t>
    </r>
  </si>
  <si>
    <t>Y(2)</t>
  </si>
  <si>
    <t>PRBSmax</t>
  </si>
  <si>
    <t xml:space="preserve">NADPH demand </t>
  </si>
  <si>
    <t>ppfd</t>
  </si>
  <si>
    <t>h</t>
  </si>
  <si>
    <r>
      <rPr>
        <i/>
        <sz val="11"/>
        <rFont val="Arial"/>
        <family val="2"/>
      </rPr>
      <t>f</t>
    </r>
    <r>
      <rPr>
        <vertAlign val="subscript"/>
        <sz val="11"/>
        <rFont val="Arial"/>
        <family val="2"/>
      </rPr>
      <t>pseudo wwc</t>
    </r>
  </si>
  <si>
    <r>
      <rPr>
        <i/>
        <sz val="11"/>
        <color theme="1"/>
        <rFont val="Arial"/>
        <family val="2"/>
      </rPr>
      <t>I</t>
    </r>
    <r>
      <rPr>
        <vertAlign val="subscript"/>
        <sz val="11"/>
        <color theme="1"/>
        <rFont val="Arial"/>
        <family val="2"/>
      </rPr>
      <t>inc</t>
    </r>
  </si>
  <si>
    <r>
      <rPr>
        <i/>
        <sz val="11"/>
        <color theme="1"/>
        <rFont val="Arial"/>
        <family val="2"/>
      </rPr>
      <t>f</t>
    </r>
    <r>
      <rPr>
        <sz val="11"/>
        <color theme="1"/>
        <rFont val="Arial"/>
        <family val="2"/>
      </rPr>
      <t>(PPFD)</t>
    </r>
  </si>
  <si>
    <r>
      <rPr>
        <i/>
        <sz val="11"/>
        <color theme="1"/>
        <rFont val="Arial"/>
        <family val="2"/>
      </rPr>
      <t>f</t>
    </r>
    <r>
      <rPr>
        <sz val="11"/>
        <color theme="1"/>
        <rFont val="Arial"/>
        <family val="2"/>
      </rPr>
      <t>(C</t>
    </r>
    <r>
      <rPr>
        <vertAlign val="subscript"/>
        <sz val="11"/>
        <color theme="1"/>
        <rFont val="Arial"/>
        <family val="2"/>
      </rPr>
      <t>M</t>
    </r>
    <r>
      <rPr>
        <sz val="11"/>
        <color theme="1"/>
        <rFont val="Arial"/>
        <family val="2"/>
      </rPr>
      <t>)</t>
    </r>
  </si>
  <si>
    <r>
      <rPr>
        <i/>
        <sz val="11"/>
        <color theme="1"/>
        <rFont val="Arial"/>
        <family val="2"/>
      </rPr>
      <t>I</t>
    </r>
    <r>
      <rPr>
        <vertAlign val="subscript"/>
        <sz val="11"/>
        <color theme="1"/>
        <rFont val="Arial"/>
        <family val="2"/>
      </rPr>
      <t>2 0</t>
    </r>
  </si>
  <si>
    <r>
      <rPr>
        <i/>
        <sz val="11"/>
        <color theme="1"/>
        <rFont val="Arial"/>
        <family val="2"/>
      </rPr>
      <t>J</t>
    </r>
    <r>
      <rPr>
        <vertAlign val="subscript"/>
        <sz val="11"/>
        <color theme="1"/>
        <rFont val="Arial"/>
        <family val="2"/>
      </rPr>
      <t>2 0</t>
    </r>
  </si>
  <si>
    <r>
      <rPr>
        <i/>
        <sz val="11"/>
        <color theme="1"/>
        <rFont val="Arial"/>
        <family val="2"/>
      </rPr>
      <t>I</t>
    </r>
    <r>
      <rPr>
        <vertAlign val="subscript"/>
        <sz val="11"/>
        <color theme="1"/>
        <rFont val="Arial"/>
        <family val="2"/>
      </rPr>
      <t>1 0</t>
    </r>
  </si>
  <si>
    <r>
      <rPr>
        <i/>
        <sz val="11"/>
        <color theme="1"/>
        <rFont val="Arial"/>
        <family val="2"/>
      </rPr>
      <t>I</t>
    </r>
    <r>
      <rPr>
        <vertAlign val="subscript"/>
        <sz val="11"/>
        <color theme="1"/>
        <rFont val="Arial"/>
        <family val="2"/>
      </rPr>
      <t>2</t>
    </r>
  </si>
  <si>
    <r>
      <rPr>
        <i/>
        <sz val="11"/>
        <color theme="1"/>
        <rFont val="Arial"/>
        <family val="2"/>
      </rPr>
      <t>I</t>
    </r>
    <r>
      <rPr>
        <vertAlign val="subscript"/>
        <sz val="11"/>
        <color theme="1"/>
        <rFont val="Arial"/>
        <family val="2"/>
      </rPr>
      <t>1</t>
    </r>
  </si>
  <si>
    <r>
      <rPr>
        <i/>
        <sz val="11"/>
        <color theme="1"/>
        <rFont val="Arial"/>
        <family val="2"/>
      </rPr>
      <t>I</t>
    </r>
    <r>
      <rPr>
        <vertAlign val="subscript"/>
        <sz val="11"/>
        <color theme="1"/>
        <rFont val="Arial"/>
        <family val="2"/>
      </rPr>
      <t>tot</t>
    </r>
  </si>
  <si>
    <r>
      <rPr>
        <i/>
        <sz val="11"/>
        <color theme="1"/>
        <rFont val="Arial"/>
        <family val="2"/>
      </rPr>
      <t>J</t>
    </r>
    <r>
      <rPr>
        <vertAlign val="subscript"/>
        <sz val="11"/>
        <color theme="1"/>
        <rFont val="Arial"/>
        <family val="2"/>
      </rPr>
      <t>2</t>
    </r>
  </si>
  <si>
    <r>
      <rPr>
        <i/>
        <sz val="11"/>
        <color theme="1"/>
        <rFont val="Arial"/>
        <family val="2"/>
      </rPr>
      <t>J</t>
    </r>
    <r>
      <rPr>
        <vertAlign val="subscript"/>
        <sz val="11"/>
        <color theme="1"/>
        <rFont val="Arial"/>
        <family val="2"/>
      </rPr>
      <t>1</t>
    </r>
  </si>
  <si>
    <r>
      <rPr>
        <i/>
        <sz val="11"/>
        <color theme="1"/>
        <rFont val="Arial"/>
        <family val="2"/>
      </rPr>
      <t>J</t>
    </r>
    <r>
      <rPr>
        <vertAlign val="subscript"/>
        <sz val="11"/>
        <color theme="1"/>
        <rFont val="Arial"/>
        <family val="2"/>
      </rPr>
      <t>ATP</t>
    </r>
  </si>
  <si>
    <r>
      <rPr>
        <i/>
        <sz val="11"/>
        <color theme="1"/>
        <rFont val="Arial"/>
        <family val="2"/>
      </rPr>
      <t>J</t>
    </r>
    <r>
      <rPr>
        <vertAlign val="subscript"/>
        <sz val="11"/>
        <color theme="1"/>
        <rFont val="Arial"/>
        <family val="2"/>
      </rPr>
      <t>NADPH</t>
    </r>
  </si>
  <si>
    <r>
      <rPr>
        <i/>
        <sz val="11"/>
        <color theme="1"/>
        <rFont val="Arial"/>
        <family val="2"/>
      </rPr>
      <t>g</t>
    </r>
    <r>
      <rPr>
        <vertAlign val="subscript"/>
        <sz val="11"/>
        <color theme="1"/>
        <rFont val="Arial"/>
        <family val="2"/>
      </rPr>
      <t>BS</t>
    </r>
  </si>
  <si>
    <r>
      <rPr>
        <i/>
        <sz val="11"/>
        <color theme="1"/>
        <rFont val="Arial"/>
        <family val="2"/>
      </rPr>
      <t>C</t>
    </r>
    <r>
      <rPr>
        <vertAlign val="subscript"/>
        <sz val="11"/>
        <color theme="1"/>
        <rFont val="Arial"/>
        <family val="2"/>
      </rPr>
      <t>M</t>
    </r>
  </si>
  <si>
    <r>
      <rPr>
        <i/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M</t>
    </r>
  </si>
  <si>
    <r>
      <rPr>
        <i/>
        <sz val="11"/>
        <rFont val="Arial"/>
        <family val="2"/>
      </rPr>
      <t>AB</t>
    </r>
    <r>
      <rPr>
        <sz val="11"/>
        <rFont val="Arial"/>
        <family val="2"/>
      </rPr>
      <t xml:space="preserve"> BS/M</t>
    </r>
  </si>
  <si>
    <r>
      <rPr>
        <i/>
        <sz val="11"/>
        <rFont val="Arial"/>
        <family val="2"/>
      </rPr>
      <t>Y</t>
    </r>
    <r>
      <rPr>
        <sz val="11"/>
        <rFont val="Arial"/>
        <family val="2"/>
      </rPr>
      <t>(2)</t>
    </r>
    <r>
      <rPr>
        <vertAlign val="subscript"/>
        <sz val="11"/>
        <rFont val="Arial"/>
        <family val="2"/>
      </rPr>
      <t>LL</t>
    </r>
  </si>
  <si>
    <r>
      <rPr>
        <i/>
        <sz val="11"/>
        <rFont val="Arial"/>
        <family val="2"/>
      </rPr>
      <t>f</t>
    </r>
    <r>
      <rPr>
        <vertAlign val="subscript"/>
        <sz val="11"/>
        <rFont val="Arial"/>
        <family val="2"/>
      </rPr>
      <t>PSEUDO NR BS</t>
    </r>
  </si>
  <si>
    <r>
      <rPr>
        <i/>
        <sz val="11"/>
        <rFont val="Arial"/>
        <family val="2"/>
      </rPr>
      <t>f</t>
    </r>
    <r>
      <rPr>
        <vertAlign val="subscript"/>
        <sz val="11"/>
        <rFont val="Arial"/>
        <family val="2"/>
      </rPr>
      <t>PSEUDO NR M</t>
    </r>
  </si>
  <si>
    <r>
      <rPr>
        <i/>
        <sz val="11"/>
        <rFont val="Arial"/>
        <family val="2"/>
      </rPr>
      <t>f</t>
    </r>
    <r>
      <rPr>
        <vertAlign val="subscript"/>
        <sz val="11"/>
        <rFont val="Arial"/>
        <family val="2"/>
      </rPr>
      <t>Q</t>
    </r>
  </si>
  <si>
    <r>
      <t>Y(1)</t>
    </r>
    <r>
      <rPr>
        <vertAlign val="subscript"/>
        <sz val="11"/>
        <rFont val="Arial"/>
        <family val="2"/>
      </rPr>
      <t>LL</t>
    </r>
  </si>
  <si>
    <r>
      <t>α</t>
    </r>
    <r>
      <rPr>
        <vertAlign val="subscript"/>
        <sz val="11"/>
        <rFont val="Arial"/>
        <family val="2"/>
      </rPr>
      <t>C</t>
    </r>
  </si>
  <si>
    <r>
      <rPr>
        <sz val="11"/>
        <rFont val="Calibri"/>
        <family val="2"/>
      </rPr>
      <t>θ</t>
    </r>
    <r>
      <rPr>
        <vertAlign val="subscript"/>
        <sz val="11"/>
        <rFont val="Arial"/>
        <family val="2"/>
      </rPr>
      <t>C</t>
    </r>
  </si>
  <si>
    <r>
      <t>α</t>
    </r>
    <r>
      <rPr>
        <vertAlign val="subscript"/>
        <sz val="11"/>
        <rFont val="Arial"/>
        <family val="2"/>
      </rPr>
      <t>V</t>
    </r>
  </si>
  <si>
    <r>
      <rPr>
        <sz val="11"/>
        <rFont val="Calibri"/>
        <family val="2"/>
      </rPr>
      <t>θ</t>
    </r>
    <r>
      <rPr>
        <vertAlign val="subscript"/>
        <sz val="11"/>
        <rFont val="Arial"/>
        <family val="2"/>
      </rPr>
      <t>V</t>
    </r>
  </si>
  <si>
    <r>
      <rPr>
        <i/>
        <sz val="11"/>
        <rFont val="Arial"/>
        <family val="2"/>
      </rPr>
      <t>f</t>
    </r>
    <r>
      <rPr>
        <vertAlign val="subscript"/>
        <sz val="11"/>
        <rFont val="Arial"/>
        <family val="2"/>
      </rPr>
      <t>NDH M</t>
    </r>
  </si>
  <si>
    <r>
      <rPr>
        <i/>
        <sz val="11"/>
        <rFont val="Arial"/>
        <family val="2"/>
      </rPr>
      <t>f</t>
    </r>
    <r>
      <rPr>
        <vertAlign val="subscript"/>
        <sz val="11"/>
        <rFont val="Arial"/>
        <family val="2"/>
      </rPr>
      <t>NDHBS</t>
    </r>
  </si>
  <si>
    <r>
      <rPr>
        <i/>
        <sz val="11"/>
        <rFont val="Arial"/>
        <family val="2"/>
      </rPr>
      <t>f</t>
    </r>
    <r>
      <rPr>
        <vertAlign val="subscript"/>
        <sz val="11"/>
        <rFont val="Arial"/>
        <family val="2"/>
      </rPr>
      <t>Cyc M</t>
    </r>
  </si>
  <si>
    <r>
      <rPr>
        <i/>
        <sz val="11"/>
        <rFont val="Arial"/>
        <family val="2"/>
      </rPr>
      <t>f</t>
    </r>
    <r>
      <rPr>
        <vertAlign val="subscript"/>
        <sz val="11"/>
        <rFont val="Arial"/>
        <family val="2"/>
      </rPr>
      <t>Cyc BS</t>
    </r>
  </si>
  <si>
    <r>
      <rPr>
        <i/>
        <sz val="11"/>
        <rFont val="Arial"/>
        <family val="2"/>
      </rPr>
      <t>V</t>
    </r>
    <r>
      <rPr>
        <vertAlign val="subscript"/>
        <sz val="11"/>
        <rFont val="Arial"/>
        <family val="2"/>
      </rPr>
      <t>0C</t>
    </r>
  </si>
  <si>
    <r>
      <rPr>
        <i/>
        <sz val="11"/>
        <rFont val="Arial"/>
        <family val="2"/>
      </rPr>
      <t>V</t>
    </r>
    <r>
      <rPr>
        <vertAlign val="subscript"/>
        <sz val="11"/>
        <rFont val="Arial"/>
        <family val="2"/>
      </rPr>
      <t>0V</t>
    </r>
  </si>
  <si>
    <t>Check CBS</t>
  </si>
  <si>
    <t>Partial formulas for cbs</t>
  </si>
  <si>
    <t>Check Cstot</t>
  </si>
  <si>
    <t>fPEPCK function</t>
  </si>
  <si>
    <r>
      <rPr>
        <i/>
        <sz val="11"/>
        <color theme="1"/>
        <rFont val="Arial"/>
        <family val="2"/>
      </rPr>
      <t>f</t>
    </r>
    <r>
      <rPr>
        <vertAlign val="subscript"/>
        <sz val="11"/>
        <color theme="1"/>
        <rFont val="Arial"/>
        <family val="2"/>
      </rPr>
      <t>PEPCK</t>
    </r>
  </si>
  <si>
    <r>
      <rPr>
        <i/>
        <sz val="11"/>
        <color theme="1"/>
        <rFont val="Arial"/>
        <family val="2"/>
      </rPr>
      <t>f</t>
    </r>
    <r>
      <rPr>
        <vertAlign val="subscript"/>
        <sz val="11"/>
        <color theme="1"/>
        <rFont val="Arial"/>
        <family val="2"/>
      </rPr>
      <t xml:space="preserve"> MDH  M</t>
    </r>
  </si>
  <si>
    <t>PH</t>
  </si>
  <si>
    <r>
      <rPr>
        <i/>
        <sz val="10"/>
        <rFont val="Arial"/>
        <family val="2"/>
      </rPr>
      <t>(ATP</t>
    </r>
    <r>
      <rPr>
        <i/>
        <vertAlign val="subscript"/>
        <sz val="10"/>
        <rFont val="Arial"/>
        <family val="2"/>
      </rPr>
      <t>TOT</t>
    </r>
    <r>
      <rPr>
        <sz val="10"/>
        <rFont val="Arial"/>
        <family val="2"/>
      </rPr>
      <t>+</t>
    </r>
    <r>
      <rPr>
        <i/>
        <sz val="10"/>
        <rFont val="Arial"/>
        <family val="2"/>
      </rPr>
      <t>NADPH</t>
    </r>
    <r>
      <rPr>
        <vertAlign val="subscript"/>
        <sz val="10"/>
        <rFont val="Arial"/>
        <family val="2"/>
      </rPr>
      <t>TOT</t>
    </r>
    <r>
      <rPr>
        <i/>
        <sz val="10"/>
        <rFont val="Arial"/>
        <family val="2"/>
      </rPr>
      <t>)/GA</t>
    </r>
  </si>
  <si>
    <r>
      <t>Photo-prod.</t>
    </r>
    <r>
      <rPr>
        <i/>
        <sz val="10"/>
        <rFont val="Arial"/>
        <family val="2"/>
      </rPr>
      <t xml:space="preserve"> ATP</t>
    </r>
    <r>
      <rPr>
        <vertAlign val="subscript"/>
        <sz val="10"/>
        <rFont val="Arial"/>
        <family val="2"/>
      </rPr>
      <t>M</t>
    </r>
    <r>
      <rPr>
        <sz val="10"/>
        <rFont val="Arial"/>
        <family val="2"/>
      </rPr>
      <t>/</t>
    </r>
    <r>
      <rPr>
        <i/>
        <sz val="10"/>
        <rFont val="Arial"/>
        <family val="2"/>
      </rPr>
      <t>NADPH</t>
    </r>
    <r>
      <rPr>
        <vertAlign val="subscript"/>
        <sz val="10"/>
        <rFont val="Arial"/>
        <family val="2"/>
      </rPr>
      <t>M</t>
    </r>
  </si>
  <si>
    <t>Pi M→BS</t>
  </si>
  <si>
    <r>
      <rPr>
        <i/>
        <sz val="11"/>
        <color theme="1"/>
        <rFont val="Arial"/>
        <family val="2"/>
      </rPr>
      <t>f</t>
    </r>
    <r>
      <rPr>
        <vertAlign val="subscript"/>
        <sz val="11"/>
        <color theme="1"/>
        <rFont val="Arial"/>
        <family val="2"/>
      </rPr>
      <t>PH</t>
    </r>
  </si>
  <si>
    <t>Quantum yield (absorbed)</t>
  </si>
  <si>
    <t>Quantum yield (incident)</t>
  </si>
  <si>
    <t>CE</t>
  </si>
  <si>
    <t>Y(CO2)LL and CE</t>
  </si>
  <si>
    <r>
      <t>s</t>
    </r>
    <r>
      <rPr>
        <vertAlign val="subscript"/>
        <sz val="11"/>
        <rFont val="Arial"/>
        <family val="2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</si>
</sst>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  <font>
      <vertAlign val="subscript"/>
      <sz val="11"/>
      <name val="Arial"/>
      <family val="2"/>
    </font>
    <font>
      <i/>
      <vertAlign val="subscript"/>
      <sz val="1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8" tint="-0.249977111117893"/>
      <name val="Arial"/>
      <family val="2"/>
    </font>
    <font>
      <sz val="11"/>
      <color rgb="FFFF0000"/>
      <name val="Arial"/>
      <family val="2"/>
    </font>
    <font>
      <b/>
      <sz val="14"/>
      <name val="Arial"/>
      <family val="2"/>
    </font>
    <font>
      <sz val="11"/>
      <name val="Calibri"/>
      <family val="2"/>
    </font>
    <font>
      <sz val="8"/>
      <color rgb="FFFF000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  <font>
      <vertAlign val="subscript"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1" fillId="0" borderId="0" xfId="0" applyFont="1"/>
    <xf numFmtId="0" fontId="7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0" xfId="0" applyFont="1" applyFill="1" applyBorder="1"/>
    <xf numFmtId="0" fontId="3" fillId="2" borderId="8" xfId="0" applyFont="1" applyFill="1" applyBorder="1"/>
    <xf numFmtId="2" fontId="2" fillId="2" borderId="1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/>
    <xf numFmtId="0" fontId="4" fillId="2" borderId="1" xfId="0" applyFont="1" applyFill="1" applyBorder="1"/>
    <xf numFmtId="0" fontId="8" fillId="3" borderId="2" xfId="0" applyFont="1" applyFill="1" applyBorder="1" applyAlignment="1">
      <alignment horizontal="center" vertical="center"/>
    </xf>
    <xf numFmtId="0" fontId="9" fillId="2" borderId="1" xfId="0" applyFont="1" applyFill="1" applyBorder="1"/>
    <xf numFmtId="2" fontId="2" fillId="2" borderId="2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2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1" fontId="1" fillId="2" borderId="1" xfId="0" applyNumberFormat="1" applyFont="1" applyFill="1" applyBorder="1"/>
    <xf numFmtId="2" fontId="1" fillId="2" borderId="2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/>
    <xf numFmtId="2" fontId="1" fillId="2" borderId="0" xfId="0" applyNumberFormat="1" applyFont="1" applyFill="1" applyBorder="1"/>
    <xf numFmtId="2" fontId="2" fillId="2" borderId="2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2" fontId="1" fillId="2" borderId="0" xfId="0" applyNumberFormat="1" applyFont="1" applyFill="1"/>
    <xf numFmtId="0" fontId="1" fillId="2" borderId="3" xfId="0" applyFont="1" applyFill="1" applyBorder="1"/>
    <xf numFmtId="0" fontId="1" fillId="2" borderId="11" xfId="0" applyFont="1" applyFill="1" applyBorder="1"/>
    <xf numFmtId="0" fontId="4" fillId="2" borderId="1" xfId="0" applyFont="1" applyFill="1" applyBorder="1" applyAlignment="1">
      <alignment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3" fillId="2" borderId="1" xfId="0" applyFont="1" applyFill="1" applyBorder="1"/>
    <xf numFmtId="2" fontId="2" fillId="2" borderId="0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14" fillId="2" borderId="0" xfId="0" applyFont="1" applyFill="1" applyBorder="1"/>
    <xf numFmtId="0" fontId="14" fillId="2" borderId="0" xfId="0" applyFont="1" applyFill="1"/>
    <xf numFmtId="164" fontId="2" fillId="2" borderId="0" xfId="0" applyNumberFormat="1" applyFont="1" applyFill="1"/>
    <xf numFmtId="0" fontId="15" fillId="2" borderId="0" xfId="0" applyFont="1" applyFill="1"/>
    <xf numFmtId="164" fontId="15" fillId="2" borderId="0" xfId="0" applyNumberFormat="1" applyFont="1" applyFill="1"/>
    <xf numFmtId="0" fontId="15" fillId="2" borderId="0" xfId="0" applyFont="1" applyFill="1" applyBorder="1"/>
    <xf numFmtId="0" fontId="4" fillId="2" borderId="1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2" fillId="2" borderId="3" xfId="0" applyFont="1" applyFill="1" applyBorder="1" applyAlignment="1"/>
    <xf numFmtId="0" fontId="2" fillId="2" borderId="9" xfId="0" applyFont="1" applyFill="1" applyBorder="1"/>
    <xf numFmtId="2" fontId="1" fillId="4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11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/>
    </xf>
    <xf numFmtId="0" fontId="8" fillId="3" borderId="9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1" fontId="1" fillId="2" borderId="11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  <xf numFmtId="1" fontId="1" fillId="2" borderId="0" xfId="0" applyNumberFormat="1" applyFont="1" applyFill="1" applyBorder="1"/>
    <xf numFmtId="0" fontId="18" fillId="3" borderId="0" xfId="0" applyFont="1" applyFill="1"/>
    <xf numFmtId="1" fontId="18" fillId="3" borderId="0" xfId="0" applyNumberFormat="1" applyFont="1" applyFill="1"/>
    <xf numFmtId="2" fontId="18" fillId="3" borderId="0" xfId="0" applyNumberFormat="1" applyFont="1" applyFill="1"/>
    <xf numFmtId="0" fontId="4" fillId="2" borderId="0" xfId="0" applyFont="1" applyFill="1" applyBorder="1"/>
    <xf numFmtId="0" fontId="19" fillId="2" borderId="1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1" fontId="1" fillId="2" borderId="0" xfId="0" applyNumberFormat="1" applyFont="1" applyFill="1"/>
    <xf numFmtId="165" fontId="1" fillId="2" borderId="0" xfId="0" applyNumberFormat="1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4" fillId="2" borderId="3" xfId="0" applyFont="1" applyFill="1" applyBorder="1"/>
    <xf numFmtId="164" fontId="1" fillId="2" borderId="4" xfId="0" applyNumberFormat="1" applyFont="1" applyFill="1" applyBorder="1" applyAlignment="1">
      <alignment horizontal="center"/>
    </xf>
    <xf numFmtId="166" fontId="1" fillId="2" borderId="0" xfId="0" applyNumberFormat="1" applyFont="1" applyFill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165" fontId="1" fillId="2" borderId="0" xfId="0" applyNumberFormat="1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0" fontId="1" fillId="2" borderId="2" xfId="0" applyFont="1" applyFill="1" applyBorder="1"/>
    <xf numFmtId="165" fontId="1" fillId="2" borderId="2" xfId="0" applyNumberFormat="1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2" fillId="2" borderId="2" xfId="0" applyFont="1" applyFill="1" applyBorder="1"/>
    <xf numFmtId="0" fontId="1" fillId="2" borderId="8" xfId="0" applyFont="1" applyFill="1" applyBorder="1"/>
    <xf numFmtId="0" fontId="7" fillId="2" borderId="3" xfId="0" applyFont="1" applyFill="1" applyBorder="1"/>
    <xf numFmtId="165" fontId="7" fillId="2" borderId="4" xfId="0" applyNumberFormat="1" applyFont="1" applyFill="1" applyBorder="1"/>
    <xf numFmtId="164" fontId="7" fillId="2" borderId="4" xfId="0" applyNumberFormat="1" applyFont="1" applyFill="1" applyBorder="1"/>
    <xf numFmtId="0" fontId="19" fillId="2" borderId="3" xfId="0" applyFont="1" applyFill="1" applyBorder="1"/>
    <xf numFmtId="2" fontId="1" fillId="2" borderId="4" xfId="0" applyNumberFormat="1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285747</xdr:colOff>
      <xdr:row>1</xdr:row>
      <xdr:rowOff>76199</xdr:rowOff>
    </xdr:from>
    <xdr:to>
      <xdr:col>20</xdr:col>
      <xdr:colOff>333747</xdr:colOff>
      <xdr:row>52</xdr:row>
      <xdr:rowOff>88833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7" y="200024"/>
          <a:ext cx="7668000" cy="6327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121920</xdr:rowOff>
    </xdr:from>
    <xdr:to>
      <xdr:col>21</xdr:col>
      <xdr:colOff>60960</xdr:colOff>
      <xdr:row>26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0AD804-C9F5-46D1-BC98-7DA0D409CE0D}"/>
            </a:ext>
          </a:extLst>
        </xdr:cNvPr>
        <xdr:cNvSpPr txBox="1"/>
      </xdr:nvSpPr>
      <xdr:spPr>
        <a:xfrm>
          <a:off x="304800" y="304800"/>
          <a:ext cx="12557760" cy="449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S8. Solutions</a:t>
          </a:r>
        </a:p>
        <a:p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CBS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(72*G20-186*K16-26*B9+72*H20+144*P9+18*K16*B29^2+6*B9*B29^2-36*B29^2*H20+36*B29^2*H21+(5184*B29*H20^2-21204*K16^2*B29-52*B9^2*B29-5184*G20^2*B29-20736*B29*P9^2+5184*G20^2+34596*K16^2+676*B9^2+5184*H20^2+1296*G20^2*B29^2-3447*K16^2*B29^2+2052*K16^2*B29^3+324*K16^2*B29^4-311*B9^2*B29^2+12*B9^2*B29^3+36*B9^2*B29^4+20736*P9^2+20736*B7^2*O15^2-3888*B29^2*H20^2-2592*B29^3*H20^2+1296*B29^4*H20^2+5184*B29^2*H21^2-5184*B29^3*H21^2+1296*B29^4*H21^2+5184*B29^2*P9^2-26784*G20*K16-3744*G20*B9+9672*K16*B9+10368*G20*H20-26784*K16*H20-3744*B9*H20+20736*G20*P9-53568*K16*P9-7488*B9*P9+20736*H20*P9+2592*G20^2*B29^2*B32+13194*K16^2*B29^2*B32-648*K16^2*B29^4*B32+314*B9^2*B29^2*B32-72*B9^2*B29^4*B32+21600*K16^2*B29^2*B28-1512*K16^2*B29^3*B28-1296*K16^2*B29^4*B28+672*B9^2*B29^2*B28+264*B9^2*B29^3*B28-144*B9^2*B29^4*B28+2592*B29^2*H20^2*B32+5184*B29^3*H20^2*B32-2592*B29^4*H20^2*B32-5184*B29^3*H21^2*B32+2592*B29^4*H21^2*B32+15552*B29^3*H20^2*B28-5184*B29^4*H20^2*B28-20736*B29^2*H21^2*B28+20736*B29^3*H21^2*B28-5184*B29^4*H21^2*B28+21600*G20*K16*B29+2016*G20*B9*B29+20736*B7*G20*O15-3336*K16*B9*B29-53568*B7*K16*O15-7488*B7*B9*O15-10368*G20*B29*H21-5184*K16*B29*H20-1728*B9*B29*H20+26784*K16*B29*H21+20736*B7*H20*O15-20736*G20*B29*P9+3744*B9*B29*H21+43200*K16*B29*P9+4032*B9*B29*P9+41472*B7*P9*O15-10368*B29*H20*H21-20736*B29*H21*P9+36*B31^2*K16^2*B29^2-36*B31^2*K16^2*B29^3+9*B31^2*K16^2*B29^4+100*B31^2*B9^2*B29^2-100*B31^2*B9^2*B29^3+25*B31^2*B9^2*B29^4+5184*B7^2*B29^2*O15^2+1296*G20^2*B29^2*B32^2+3249*K16^2*B29^2*B32^2-2052*K16^2*B29^3*B32^2+324*K16^2*B29^4*B32^2+B9^2*B29^2*B32^2-12*B9^2*B29^3*B32^2+36*B9^2*B29^4*B32^2+82944*B7^2*P16^2*B8^2+5184*K16^2*B29^2*B28^2-5184*K16^2*B29^3*B28^2+1296*K16^2*B29^4*B28^2+576*B9^2*B29^2*B28^2-576*B9^2*B29^3*B28^2+144*B9^2*B29^4*B28^2+1296*B29^2*H20^2*B32^2-2592*B29^3*H20^2*B32^2+1296*B29^4*H20^2*B32^2+1296*B29^4*H21^2*B32^2+20736*B29^2*H20^2*B28^2-20736*B29^3*H20^2*B28^2+5184*B29^4*H20^2*B28^2+20736*B29^2*H21^2*B28^2-20736*B29^3*H21^2*B28^2+5184*B29^4*H21^2*B28^2-1512*G20*K16*B29^2-1296*G20*K16*B29^3+792*G20*B9*B29^2-432*G20*B9*B29^3+2232*B31*K16^2*B29-520*B31*B9^2*B29-3054*K16*B9*B29^2+720*K16*B9*B29^3+216*K16*B9*B29^4-7776*G20*B29^2*H20+2592*G20*B29^3*H20+10368*G20*B29^2*H21-2592*G20*B29^3*H21+20088*K16*B29^2*H20-2808*K16*B29^3*H20-1296*K16*B29^4*H20+2808*B9*B29^2*H20+360*B9*B29^3*H20-432*B9*B29^4*H20-21600*K16*B29^2*H21+1512*K16*B29^3*H21+1296*K16*B29^4*H21+5184*G20*B29^2*P9-2016*B9*B29^2*H21-792*B9*B29^3*H21+432*B9*B29^4*H21-3024*K16*B29^2*P9-2592*K16*B29^3*P9+1584*B9*B29^2*P9-864*B9*B29^3*P9-5184*G20^2*B29*B32-21204*K16^2*B29*B32-52*B9^2*B29*B32+7776*B29^3*H20*H21-2592*B29^4*H20*H21-15552*B29^2*H20*P9+5184*B29^3*H20*P9+20736*B29^2*H21*P9-5184*B29^3*H21*P9-26784*K16^2*B29*B28-1248*B9^2*B29*B28-5184*B29*H20^2*B32-20736*B29*H20^2*B28-1800*B31*K16^2*B29^2+126*B31*K16^2*B29^3+108*B31*K16^2*B29^4+280*B31*B9^2*B29^2+110*B31*B9^2*B29^3-60*B31*B9^2*B29^4-20736*B7^2*B29*O15^2+41472*B29^2*H20*P9*B28-10368*B29^3*H20*P9*B28-41472*B29^2*H21*P9*B28+10368*B29^3*H21*P9*B28+10368*B29*H20^2*B32*B28+9*B31^2*K16^2*B29^2*B32^2+36*B31^2*K16^2*B29^3*B32^2+36*B31^2*K16^2*B29^4*B32^2+25*B31^2*B9^2*B29^2*B32^2+100*B31^2*B9^2*B29^3*B32^2+100*B31^2*B9^2*B29^4*B32^2+144*B31^2*K16^2*B29^2*B28^2-144*B31^2*K16^2*B29^3*B28^2+36*B31^2*K16^2*B29^4*B28^2+400*B31^2*B9^2*B29^2*B28^2-400*B31^2*B9^2*B29^3*B28^2+100*B31^2*B9^2*B29^4*B28^2+20736*B7^2*B29^2*P16^2*B8^2+5184*G20^2*B29^2*B32^2*B28^2+12996*K16^2*B29^2*B32^2*B28^2-8208*K16^2*B29^3*B32^2*B28^2+1296*K16^2*B29^4*B32^2*B28^2+4*B9^2*B29^2*B32^2*B28^2-48*B9^2*B29^3*B32^2*B28^2+144*B9^2*B29^4*B32^2*B28^2+5184*B29^2*H20^2*B32^2*B28^2-10368*B29^3*H20^2*B32^2*B28^2+5184*B29^4*H20^2*B32^2*B28^2+5184*B29^4*H21^2*B32^2*B28^2-120*B31^2*K16*B9*B29^2+120*B31^2*K16*B9*B29^3-30*B31^2*K16*B9*B29^4-4104*G20*K16*B29^2*B32^2+1296*G20*K16*B29^3*B32^2-72*G20*B9*B29^2*B32^2+432*G20*B9*B29^3*B32^2+1206*B31*K16^2*B29^2*B32-234*B31*K16^2*B29^3*B32-324*B31*K16^2*B29^4*B32-490*B31*B9^2*B29^2*B32-50*B31*B9^2*B29^3*B32+180*B31*B9^2*B29^4*B32+114*K16*B9*B29^2*B32^2-720*K16*B9*B29^3*B32^2+216*K16*B9*B29^4*B32^2+2736*B31*K16^2*B29^2*B28+612*B31*K16^2*B29^3*B28-432*B31*K16^2*B29^4*B28-80*B31*B9^2*B29^2*B28-700*B31*B9^2*B29^3*B28+240*B31*B9^2*B29^4*B28+2592*G20*B29^2*H20*B32^2-2592*G20*B29^3*H20*B32^2+3456*K16*B9*B29^2*B28^2-3456*K16*B9*B29^3*B28^2+864*K16*B9*B29^4*B28^2-2592*G20*B29^3*H21*B32^2-4104*K16*B29^2*H20*B32^2+5400*K16*B29^3*H20*B32^2-1296*K16*B29^4*H20*B32^2-72*B9*B29^2*H20*B32^2+504*B9*B29^3*H20*B32^2-432*B9*B29^4*H20*B32^2+4104*K16*B29^3*H21*B32^2-1296*K16*B29^4*H21*B32^2+72*B9*B29^3*H21*B32^2-432*B9*B29^4*H21*B32^2-20736*K16*B29^2*H20*B28^2+20736*K16*B29^3*H20*B28^2-5184*K16*B29^4*H20*B28^2-6912*B9*B29^2*H20*B28^2+6912*B9*B29^3*H20*B28^2-1728*B9*B29^4*H20*B28^2+20736*K16*B29^2*H21*B28^2-20736*K16*B29^3*H21*B28^2+5184*K16*B29^4*H21*B28^2+6912*B9*B29^2*H21*B28^2-6912*B9*B29^3*H21*B28^2+1728*B9*B29^4*H21*B28^2-2592*B29^3*H20*H21*B32^2+2592*B29^4*H20*H21*B32^2-5184*G20^2*B29^2*B32*B28-18180*K16^2*B29^2*B32*B28-6696*K16^2*B29^3*B32*B28+2592*K16^2*B29^4*B32*B28-580*B9^2*B29^2*B32*B28-41472*B29^2*H20*H21*B28^2-312*B9^2*B29^3*B32*B28+41472*B29^3*H20*H21*B28^2+288*B9^2*B29^4*B32*B28-10368*B29^4*H20*H21*B28^2+5184*B29^2*H20^2*B32*B28-25920*B29^3*H20^2*B32*B28+10368*B29^4*H20^2*B32*B28+20736*B29^3*H21^2*B32*B28-10368*B29^4*H21^2*B32*B28-864*G20*B31*K16*B29+1440*G20*B31*B9*B29-3408*B31*K16*B9*B29-20736*B7*G20*B29*O15-864*B31*K16*B29*H20+1440*B31*B9*B29*H20+43200*B7*K16*B29*O15+4032*B7*B9*B29*O15-1728*B31*K16*B29*P9+2880*B31*B9*B29*P9+21600*G20*K16*B29*B32+2016*G20*B9*B29*B32-3336*K16*B9*B29*B32+41472*B7*G20*P16*B8-20736*B7*B29*H21*O15+10368*G20*K16*B29*B28+3456*G20*B9*B29*B28+6912*B7*K16*P16*B8+23040*B7*B9*P16*B8-41472*B7*B29*P9*O15-10368*G20*B29*H20*B32-12672*K16*B9*B29*B28+21600*K16*B29*H20*B32+2016*B9*B29*H20*B32-10368*G20*B29*P9*B32-20736*G20*B29*H20*B28+41472*B7*H20*P16*B8+20736*G20*B29*H21*B28+16416*K16*B29*P9*B32+288*B9*B29*P9*B32+63936*K16*B29*H20*B28+10944*B9*B29*H20*B28-53568*K16*B29*H21*B28-7488*B9*B29*H21*B28+82944*B7*P9*P16*B8+20736*K16*B29*P9*B28+6912*B9*B29*P9*B28-10368*B29*H20*P9*B32+20736*B29*H20*H21*B28-41472*B29*H20*P9*B28+41472*B29*H21*P9*B28-342*B31*K16^2*B29^2*B32^2+36*B31^2*K16^2*B29^2*B32-576*B31*K16^2*B29^3*B32^2+54*B31^2*K16^2*B29^3*B32+216*B31*K16^2*B29^4*B32^2-36*B31^2*K16^2*B29^4*B32+10*B31*B9^2*B29^2*B32^2+100*B31^2*B9^2*B29^2*B32-40*B31*B9^2*B29^3*B32^2+150*B31^2*B9^2*B29^3*B32-120*B31*B9^2*B29^4*B32^2-100*B31^2*B9^2*B29^4*B32+1728*B31*K16^2*B29^2*B28^2-144*B31^2*K16^2*B29^2*B28-1728*B31*K16^2*B29^3*B28^2+144*B31^2*K16^2*B29^3*B28+432*B31*K16^2*B29^4*B28^2-36*B31^2*K16^2*B29^4*B28-960*B31*B9^2*B29^2*B28^2-400*B31^2*B9^2*B29^2*B28+960*B31*B9^2*B29^3*B28^2+400*B31^2*B9^2*B29^3*B28-240*B31*B9^2*B29^4*B28^2-100*B31^2*B9^2*B29^4*B28-82944*B7^2*B29*P16^2*B8^2-5184*G20^2*B29^2*B32^2*B28-16416*K16^2*B29^2*B32*B28^2-12996*K16^2*B29^2*B32^2*B28+13392*K16^2*B29^3*B32*B28^2+8208*K16^2*B29^3*B32^2*B28-2592*K16^2*B29^4*B32*B28^2-1296*K16^2*B29^4*B32^2*B28-96*B9^2*B29^2*B32*B28^2-4*B9^2*B29^2*B32^2*B28+624*B9^2*B29^3*B32*B28^2+48*B9^2*B29^3*B32^2*B28-288*B9^2*B29^4*B32*B28^2-144*B9^2*B29^4*B32^2*B28-20736*B29^2*H20^2*B32*B28^2-5184*B29^2*H20^2*B32^2*B28+31104*B29^3*H20^2*B32*B28^2+10368*B29^3*H20^2*B32^2*B28-10368*B29^4*H20^2*B32*B28^2-5184*B29^4*H20^2*B32^2*B28-20736*B29^3*H21^2*B32*B28^2+10368*B29^4*H21^2*B32*B28^2-5184*B29^4*H21^2*B32^2*B28+864*G20*B31*K16*B29^2-216*G20*B31*K16*B29^3-1440*G20*B31*B9*B29^2+360*G20*B31*B9*B29^3+2832*B31*K16*B9*B29^2-276*B31*K16*B9*B29^3-144*B31*K16*B9*B29^4+5184*B7*G20*B29^2*O15+648*B31*K16*B29^3*H20-216*B31*K16*B29^4*H20-1080*B31*B9*B29^3*H20+360*B31*B9*B29^4*H20+864*B31*K16*B29^2*H21-864*B31*K16*B29^3*H21+216*B31*K16*B29^4*H21-3024*B7*K16*B29^2*O15-1440*B31*B9*B29^2*H21-2592*B7*K16*B29^3*O15+1440*B31*B9*B29^3*H21-360*B31*B9*B29^4*H21+1584*B7*B9*B29^2*O15-864*B7*B9*B29^3*O15+1728*B31*K16*B29^2*P9-432*B31*K16*B29^3*P9-2880*B31*B9*B29^2*P9+720*B31*B9*B29^3*P9-10800*G20*K16*B29^2*B32-1008*G20*B9*B29^2*B32+1116*B31*K16^2*B29*B32-260*B31*B9^2*B29*B32-15552*B7*B29^2*H20*O15+5184*B7*B29^3*H20*O15+3396*K16*B9*B29^2*B32-432*K16*B9*B29^4*B32+20736*B7*B29^2*H21*O15-5184*B7*B29^3*H21*O15-10368*G20*K16*B29^2*B28+2592*G20*K16*B29^3*B28-3456*G20*B9*B29^2*B28+864*G20*B9*B29^3*B28-4464*B31*K16^2*B29*B28+10368*B7*B29^2*P9*O15+1040*B31*B9^2*B29*B28+5184*G20*B29^2*H20*B32+9216*K16*B9*B29^2*B28+288*K16*B9*B29^3*B28-864*K16*B9*B29^4*B28+10368*G20*B29^2*H21*B32-5184*G20*B29^3*H21*B32-15984*K16*B29^2*H20*B32-2592*K16*B29^3*H20*B32+2592*K16*B29^4*H20*B32-2736*B9*B29^2*H20*B32-864*B9*B29^3*H20*B32+864*B9*B29^4*H20*B32-21600*K16*B29^2*H21*B32+10800*K16*B29^3*H21*B32+5184*G20*B29^2*P9*B32-2016*B9*B29^2*H21*B32+1008*B9*B29^3*H21*B32+20736*G20*B29^2*H20*B28-5184*G20*B29^3*H20*B28-20736*G20*B29^2*H21*B28+5184*G20*B29^3*H21*B28-13392*K16*B29^2*P9*B32+2592*K16*B29^3*P9*B32-1872*B9*B29^2*P9*B32+864*B9*B29^3*P9*B32-43200*K16*B29^2*H20*B28-4752*K16*B29^3*H20*B28+5184*K16*B29^4*H20*B28-4032*B9*B29^2*H20*B28-4176*B9*B29^3*H20*B28+1728*B9*B29^4*H20*B28+32832*K16*B29^2*H21*B28+7344*K16*B29^3*H21*B28-5184*K16*B29^4*H21*B28+576*B9*B29^2*H21*B28+5040*B9*B29^3*H21*B28-1728*B9*B29^4*H21*B28+82944*B7^2*O15*P16*B8+10368*B29^2*H20*H21*B32-5184*B29^3*H20*H21*B32-20736*K16*B29^2*P9*B28+5184*K16*B29^3*P9*B28-6912*B9*B29^2*P9*B28+1728*B9*B29^3*P9*B28+10368*G20^2*B29*B32*B28+15552*B29^2*H20*P9*B32-5184*B29^3*H20*P9*B32+10368*B29^2*H21*P9*B32-5184*B29^3*H21*P9*B32+42408*K16^2*B29*B32*B28+104*B9^2*B29*B32*B28+20736*B29^2*H20*H21*B28-36288*B29^3*H20*H21*B28+10368*B29^4*H20*H21*B28-16416*G20*K16*B29^2*B32^2*B28^2+5184*G20*K16*B29^3*B32^2*B28^2-288*G20*B9*B29^2*B32^2*B28^2+1728*G20*B9*B29^3*B32^2*B28^2-1872*B31*K16^2*B29^2*B32*B28^2+1368*B31*K16^2*B29^2*B32^2*B28-144*B31^2*K16^2*B29^2*B32*B28+3528*B31*K16^2*B29^3*B32*B28^2+2304*B31*K16^2*B29^3*B32^2*B28-216*B31^2*K16^2*B29^3*B32*B28-1296*B31*K16^2*B29^4*B32*B28^2-864*B31*K16^2*B29^4*B32^2*B28+144*B31^2*K16^2*B29^4*B32*B28-400*B31*B9^2*B29^2*B32*B28^2-40*B31*B9^2*B29^2*B32^2*B28-400*B31^2*B9^2*B29^2*B32*B28-1240*B31*B9^2*B29^3*B32*B28^2+160*B31*B9^2*B29^3*B32^2*B28-600*B31^2*B9^2*B29^3*B32*B28+720*B31*B9^2*B29^4*B32*B28^2+480*B31*B9^2*B29^4*B32^2*B28+400*B31^2*B9^2*B29^4*B32*B28+456*K16*B9*B29^2*B32^2*B28^2-2880*K16*B9*B29^3*B32^2*B28^2+864*K16*B9*B29^4*B32^2*B28^2+10368*G20*B29^2*H20*B32^2*B28^2-10368*G20*B29^3*H20*B32^2*B28^2-10368*G20*B29^3*H21*B32^2*B28^2-16416*K16*B29^2*H20*B32^2*B28^2+21600*K16*B29^3*H20*B32^2*B28^2-5184*K16*B29^4*H20*B32^2*B28^2-288*B9*B29^2*H20*B32^2*B28^2+2016*B9*B29^3*H20*B32^2*B28^2-1728*B9*B29^4*H20*B32^2*B28^2+16416*K16*B29^3*H21*B32^2*B28^2-5184*K16*B29^4*H21*B32^2*B28^2+288*B9*B29^3*H21*B32^2*B28^2-1728*B9*B29^4*H21*B32^2*B28^2-10368*B29^3*H20*H21*B32^2*B28^2+10368*B29^4*H20*H21*B32^2*B28^2+1728*B7*B31*K16*B29^2*O15-432*B7*B31*K16*B29^3*O15-2880*B7*B31*B9*B29^2*O15+720*B7*B31*B9*B29^3*O15-216*G20*B31*K16*B29^2*B32+216*G20*B31*K16*B29^3*B32+360*G20*B31*B9*B29^2*B32-360*G20*B31*B9*B29^3*B32-1716*B31*K16*B9*B29^2*B32+420*B31*K16*B9*B29^3*B32+432*B31*K16*B9*B29^4*B32-1728*G20*B31*K16*B29^2*B28+432*G20*B31*K16*B29^3*B28+2880*G20*B31*B9*B29^2*B28-720*G20*B31*B9*B29^3*B28-4512*B31*K16*B9*B29^2*B28-600*B31*K16*B9*B29^3*B28+576*B31*K16*B9*B29^4*B28+5184*B7*G20*B29^2*O15*B32-648*B31*K16*B29^2*H20*B32-864*B31*K16*B29^3*H20*B32+648*B31*K16*B29^4*H20*B32+1080*B31*B9*B29^2*H20*B32+1440*B31*B9*B29^3*H20*B32-1080*B31*B9*B29^4*H20*B32+432*B31*K16*B29^2*H21*B32+216*B31*K16*B29^3*H21*B32-216*B31*K16*B29^4*H21*B32+10368*B7*G20*B29^2*P16*B8-13392*B7*K16*B29^2*O15*B32-720*B31*B9*B29^2*H21*B32+2592*B7*K16*B29^3*O15*B32-360*B31*B9*B29^3*H21*B32+360*B31*B9*B29^4*H21*B32-1872*B7*B9*B29^2*O15*B32+864*B7*B9*B29^3*O15*B32+43200*B7*K16*B29^2*P16*B8-10368*B7*K16*B29^3*P16*B8-1296*B31*K16*B29^2*P9*B32+864*B31*K16*B29^3*P9*B32+19584*B7*B9*B29^2*P16*B8-3456*B7*B9*B29^3*P16*B8+2160*B31*B9*B29^2*P9*B32-1440*B31*B9*B29^3*P9*B32+1728*B31*K16*B29^2*H20*B28-3024*B31*K16*B29^3*H20*B28+864*B31*K16*B29^4*H20*B28-2880*B31*B9*B29^2*H20*B28+5040*B31*B9*B29^3*H20*B28-1440*B31*B9*B29^4*H20*B28-3456*B31*K16*B29^2*H21*B28+3456*B31*K16*B29^3*H21*B28-864*B31*K16*B29^4*H21*B28-20736*B7*K16*B29^2*O15*B28+5760*B31*B9*B29^2*H21*B28+5184*B7*K16*B29^3*O15*B28-5760*B31*B9*B29^3*H21*B28+1440*B31*B9*B29^4*H21*B28-6912*B7*B9*B29^2*O15*B28+1728*B7*B9*B29^3*O15*B28-3456*B31*K16*B29^2*P9*B28+864*B31*K16*B29^3*P9*B28+15552*B7*B29^2*H20*O15*B32-5184*B7*B29^3*H20*O15*B32+5760*B31*B9*B29^2*P9*B28-1440*B31*B9*B29^3*P9*B28+10368*B7*B29^2*H21*O15*B32-5184*B7*B29^3*H21*O15*B32-31104*B7*B29^2*H20*P16*B8+10368*B7*B29^3*H20*P16*B8+16416*G20*K16*B29^2*B32*B28+2592*G20*K16*B29^3*B32*B28+41472*B7*B29^2*H21*P16*B8+288*G20*B9*B29^2*B32*B28-10368*B7*B29^3*H21*P16*B8+864*G20*B9*B29^3*B32*B28-2232*B31*K16^2*B29*B32*B28+520*B31*B9^2*B29*B32*B28+41472*B7*B29^2*H20*O15*B28-10368*B7*B29^3*H20*O15*B28-3912*K16*B9*B29^2*B32*B28-3168*K16*B9*B29^3*B32*B28+1728*K16*B9*B29^4*B32*B28-41472*B7*B29^2*H21*O15*B28+20736*B7*B29^2*P9*P16*B8+10368*B7*B29^3*H21*O15*B28-82944*B7^2*B29*O15*P16*B8-5184*G20*B29^3*H20*B32*B28-31104*G20*B29^2*H21*B32*B28+15552*G20*B29^3*H21*B32*B28+10368*K16*B29^2*H20*B32*B28+26352*K16*B29^3*H20*B32*B28-10368*K16*B29^4*H20*B32*B28+3456*B9*B29^2*H20*B32*B28+6192*B9*B29^3*H20*B32*B28-3456*B9*B29^4*H20*B32*B28+59616*K16*B29^2*H21*B32*B28-29808*K16*B29^3*H21*B32*B28-10368*G20*B29^2*P9*B32*B28+4320*B9*B29^2*H21*B32*B28-2160*B9*B29^3*H21*B32*B28+26784*K16*B29^2*P9*B32*B28-5184*K16*B29^3*P9*B32*B28+3744*B9*B29^2*P9*B32*B28-1728*B9*B29^3*P9*B32*B28-31104*B29^2*H20*H21*B32*B28+15552*B29^3*H20*H21*B32*B28-31104*B29^2*H20*P9*B32*B28+10368*B29^3*H20*P9*B32*B28-20736*B29^2*H21*P9*B32*B28+10368*B29^3*H21*P9*B32*B28-1368*B31*K16^2*B29^2*B32^2*B28^2+144*B31^2*K16^2*B29^2*B32*B28^2-36*B31^2*K16^2*B29^2*B32^2*B28-2304*B31*K16^2*B29^3*B32^2*B28^2+216*B31^2*K16^2*B29^3*B32*B28^2-144*B31^2*K16^2*B29^3*B32^2*B28+864*B31*K16^2*B29^4*B32^2*B28^2-144*B31^2*K16^2*B29^4*B32*B28^2-144*B31^2*K16^2*B29^4*B32^2*B28+40*B31*B9^2*B29^2*B32^2*B28^2+400*B31^2*B9^2*B29^2*B32*B28^2-100*B31^2*B9^2*B29^2*B32^2*B28-160*B31*B9^2*B29^3*B32^2*B28^2+600*B31^2*B9^2*B29^3*B32*B28^2-400*B31^2*B9^2*B29^3*B32^2*B28-480*B31*B9^2*B29^4*B32^2*B28^2-400*B31^2*B9^2*B29^4*B32*B28^2-400*B31^2*B9^2*B29^4*B32^2*B28+216*G20*B31*K16*B29^2*B32^2+432*G20*B31*K16*B29^3*B32^2-360*G20*B31*B9*B29^2*B32^2-720*G20*B31*B9*B29^3*B32^2+564*B31*K16*B9*B29^2*B32^2-120*B31^2*K16*B9*B29^2*B32+984*B31*K16*B9*B29^3*B32^2-180*B31^2*K16*B9*B29^3*B32-288*B31*K16*B9*B29^4*B32^2+120*B31^2*K16*B9*B29^4*B32-2304*B31*K16*B9*B29^2*B28^2+480*B31^2*K16*B9*B29^2*B28+2304*B31*K16*B9*B29^3*B28^2-480*B31^2*K16*B9*B29^3*B28-576*B31*K16*B9*B29^4*B28^2+120*B31^2*K16*B9*B29^4*B28+216*B31*K16*B29^2*H20*B32^2+216*B31*K16*B29^3*H20*B32^2-432*B31*K16*B29^4*H20*B32^2-360*B31*B9*B29^2*H20*B32^2-360*B31*B9*B29^3*H20*B32^2+720*B31*B9*B29^4*H20*B32^2-216*B31*K16*B29^3*H21*B32^2-432*B31*K16*B29^4*H21*B32^2+360*B31*B9*B29^3*H21*B32^2+720*B31*B9*B29^4*H21*B32^2-3456*B31*K16*B29^2*H20*B28^2+3456*B31*K16*B29^3*H20*B28^2-864*B31*K16*B29^4*H20*B28^2+5760*B31*B9*B29^2*H20*B28^2-5760*B31*B9*B29^3*H20*B28^2+1440*B31*B9*B29^4*H20*B28^2+3456*B31*K16*B29^2*H21*B28^2-3456*B31*K16*B29^3*H21*B28^2+864*B31*K16*B29^4*H21*B28^2-5760*B31*B9*B29^2*H21*B28^2+5760*B31*B9*B29^3*H21*B28^2-1440*B31*B9*B29^4*H21*B28^2+10368*G20*K16*B29^2*B32*B28^2+16416*G20*K16*B29^2*B32^2*B28-5184*G20*K16*B29^3*B32*B28^2-5184*G20*K16*B29^3*B32^2*B28+3456*G20*B9*B29^2*B32*B28^2+288*G20*B9*B29^2*B32^2*B28-1728*G20*B9*B29^3*B32*B28^2-1728*G20*B9*B29^3*B32^2*B28-1476*B31*K16^2*B29^2*B32*B28-1296*B31*K16^2*B29^3*B32*B28+1296*B31*K16^2*B29^4*B32*B28+1180*B31*B9^2*B29^2*B32*B28+720*B31*B9^2*B29^3*B32*B28-720*B31*B9^2*B29^4*B32*B28-5760*K16*B9*B29^2*B32*B28^2-456*K16*B9*B29^2*B32^2*B28+6336*K16*B9*B29^3*B32*B28^2+2880*K16*B9*B29^3*B32^2*B28-1728*K16*B9*B29^4*B32*B28^2-864*K16*B9*B29^4*B32^2*B28+20736*B7^2*B29^2*O15*P16*B8-20736*G20*B29^2*H20*B32*B28^2-10368*G20*B29^2*H20*B32^2*B28+10368*G20*B29^3*H20*B32*B28^2+10368*G20*B29^3*H20*B32^2*B28+20736*G20*B29^2*H21*B32*B28^2-10368*G20*B29^3*H21*B32*B28^2+10368*G20*B29^3*H21*B32^2*B28+43200*K16*B29^2*H20*B32*B28^2+16416*K16*B29^2*H20*B32^2*B28-42336*K16*B29^3*H20*B32*B28^2-21600*K16*B29^3*H20*B32^2*B28+10368*K16*B29^4*H20*B32*B28^2+5184*K16*B29^4*H20*B32^2*B28+4032*B9*B29^2*H20*B32*B28^2+288*B9*B29^2*H20*B32^2*B28-8928*B9*B29^3*H20*B32*B28^2-2016*B9*B29^3*H20*B32^2*B28+3456*B9*B29^4*H20*B32*B28^2+1728*B9*B29^4*H20*B32^2*B28-32832*K16*B29^2*H21*B32*B28^2+16416*K16*B29^3*H21*B32*B28^2-16416*K16*B29^3*H21*B32^2*B28+5184*K16*B29^4*H21*B32^2*B28-576*B9*B29^2*H21*B32*B28^2+288*B9*B29^3*H21*B32*B28^2-288*B9*B29^3*H21*B32^2*B28+1728*B9*B29^4*H21*B32^2*B28+20736*B29^2*H20*H21*B32*B28^2-10368*B29^3*H20*H21*B32*B28^2+10368*B29^3*H20*H21*B32^2*B28-10368*B29^4*H20*H21*B32^2*B28+36*B31^2*K16^2*B29^2*B32^2*B28^2+144*B31^2*K16^2*B29^3*B32^2*B28^2+144*B31^2*K16^2*B29^4*B32^2*B28^2+100*B31^2*B9^2*B29^2*B32^2*B28^2+400*B31^2*B9^2*B29^3*B32^2*B28^2+400*B31^2*B9^2*B29^4*B32^2*B28^2-1728*B7*B31*K16*B29*O15+2880*B7*B31*B9*B29*O15-432*G20*B31*K16*B29*B32+720*G20*B31*B9*B29*B32-1704*B31*K16*B9*B29*B32+1728*G20*B31*K16*B29*B28-2880*G20*B31*B9*B29*B28+6816*B31*K16*B9*B29*B28-10368*B7*G20*B29*O15*B32-432*B31*K16*B29*H20*B32+720*B31*B9*B29*H20*B32-41472*B7*G20*B29*P16*B8+16416*B7*K16*B29*O15*B32+288*B7*B9*B29*O15*B32-48384*B7*K16*B29*P16*B8-864*B31*K16*B29*P9*B32-36864*B7*B9*B29*P16*B8+1440*B31*B9*B29*P9*B32+1728*B31*K16*B29*H20*B28-2880*B31*B9*B29*H20*B28+20736*B7*K16*B29*O15*B28+6912*B7*B9*B29*O15*B28+3456*B31*K16*B29*P9*B28-10368*B7*B29*H20*O15*B32-5760*B31*B9*B29*P9*B28-43200*G20*K16*B29*B32*B28-41472*B7*B29*H21*P16*B8-4032*G20*B9*B29*B32*B28-41472*B7*B29*H20*O15*B28+6672*K16*B9*B29*B32*B28+41472*B7*B29*H21*O15*B28-82944*B7*B29*P9*P16*B8+20736*G20*B29*H20*B32*B28-43200*K16*B29*H20*B32*B28-4032*B9*B29*H20*B32*B28+20736*G20*B29*P9*B32*B28-30*B31^2*K16*B9*B29^2*B32^2-120*B31^2*K16*B9*B29^3*B32^2-120*B31^2*K16*B9*B29^4*B32^2-32832*K16*B29*P9*B32*B28-576*B9*B29*P9*B32*B28-480*B31^2*K16*B9*B29^2*B28^2+480*B31^2*K16*B9*B29^3*B28^2-120*B31^2*K16*B9*B29^4*B28^2+20736*B29*H20*P9*B32*B28-864*B7*B31*K16*B29*O15*B32+1440*B7*B31*B9*B29*O15*B32+6912*B7*B31*K16*B29*P16*B8+9216*B7*B31*B9*B29*P16*B8+3456*B7*B31*K16*B29*O15*B28-5760*B7*B31*B9*B29*O15*B28+864*G20*B31*K16*B29*B32*B28-1440*G20*B31*B9*B29*B32*B28+3408*B31*K16*B9*B29*B32*B28-20736*B7*G20*B29*P16*B32*B8+38016*B7*K16*B29*P16*B32*B8+20736*B7*G20*B29*O15*B32*B28+2304*B7*B9*B29*P16*B32*B8+864*B31*K16*B29*H20*B32*B28-1440*B31*B9*B29*H20*B32*B28-32832*B7*K16*B29*O15*B32*B28-576*B7*B9*B29*O15*B32*B28+82944*B7*K16*B29*P16*B8*B28+1728*B31*K16*B29*P9*B32*B28+27648*B7*B9*B29*P16*B8*B28-2880*B31*B9*B29*P9*B32*B28-20736*B7*B29*H20*P16*B32*B8+20736*B7*B29*H20*O15*B32*B28-82944*B7*B29*H20*P16*B8*B28+82944*B7*B29*H21*P16*B8*B28+864*G20*B31*K16*B29^2*B32^2*B28^2+1728*G20*B31*K16*B29^3*B32^2*B28^2-1440*G20*B31*B9*B29^2*B32^2*B28^2-2880*G20*B31*B9*B29^3*B32^2*B28^2+2256*B31*K16*B9*B29^2*B32^2*B28^2-480*B31^2*K16*B9*B29^2*B32*B28^2+120*B31^2*K16*B9*B29^2*B32^2*B28+3936*B31*K16*B9*B29^3*B32^2*B28^2-720*B31^2*K16*B9*B29^3*B32*B28^2+480*B31^2*K16*B9*B29^3*B32^2*B28-1152*B31*K16*B9*B29^4*B32^2*B28^2+480*B31^2*K16*B9*B29^4*B32*B28^2+480*B31^2*K16*B9*B29^4*B32^2*B28+864*B31*K16*B29^2*H20*B32^2*B28^2+864*B31*K16*B29^3*H20*B32^2*B28^2-1728*B31*K16*B29^4*H20*B32^2*B28^2-1440*B31*B9*B29^2*H20*B32^2*B28^2-1440*B31*B9*B29^3*H20*B32^2*B28^2+2880*B31*B9*B29^4*H20*B32^2*B28^2-864*B31*K16*B29^3*H21*B32^2*B28^2-1728*B31*K16*B29^4*H21*B32^2*B28^2+1440*B31*B9*B29^3*H21*B32^2*B28^2+2880*B31*B9*B29^4*H21*B32^2*B28^2-1296*B7*B31*K16*B29^2*O15*B32+864*B7*B31*K16*B29^3*O15*B32+2160*B7*B31*B9*B29^2*O15*B32-1440*B7*B31*B9*B29^3*O15*B32-6912*B7*B31*K16*B29^2*P16*B8+1728*B7*B31*K16*B29^3*P16*B8-9216*B7*B31*B9*B29^2*P16*B8+2304*B7*B31*B9*B29^3*P16*B8-3456*B7*B31*K16*B29^2*O15*B28+864*B7*B31*K16*B29^3*O15*B28+5760*B7*B31*B9*B29^2*O15*B28-1440*B7*B31*B9*B29^3*O15*B28-432*G20*B31*K16*B29^2*B32*B28+720*G20*B31*B9*B29^2*B32*B28+1752*B31*K16*B9*B29^2*B32*B28+1728*B31*K16*B9*B29^3*B32*B28-1728*B31*K16*B9*B29^4*B32*B28+10368*B7*G20*B29^2*P16*B32*B8-39744*B7*K16*B29^2*P16*B32*B8+10368*B7*K16*B29^3*P16*B32*B8-10368*B7*G20*B29^2*O15*B32*B28-8064*B7*B9*B29^2*P16*B32*B8+3456*B7*B9*B29^3*P16*B32*B8+1296*B31*K16*B29^2*H20*B32*B28+4320*B31*K16*B29^3*H20*B32*B28-2592*B31*K16*B29^4*H20*B32*B28-2160*B31*B9*B29^2*H20*B32*B28-7200*B31*B9*B29^3*H20*B32*B28+4320*B31*B9*B29^4*H20*B32*B28-1728*B31*K16*B29^2*H21*B32*B28-864*B31*K16*B29^3*H21*B32*B28+864*B31*K16*B29^4*H21*B32*B28+26784*B7*K16*B29^2*O15*B32*B28+2880*B31*B9*B29^2*H21*B32*B28-5184*B7*K16*B29^3*O15*B32*B28+1440*B31*B9*B29^3*H21*B32*B28-1440*B31*B9*B29^4*H21*B32*B28+3744*B7*B9*B29^2*O15*B32*B28-1728*B7*B9*B29^3*O15*B32*B28-82944*B7*K16*B29^2*P16*B8*B28+20736*B7*K16*B29^3*P16*B8*B28+2592*B31*K16*B29^2*P9*B32*B28-1728*B31*K16*B29^3*P9*B32*B28-27648*B7*B9*B29^2*P16*B8*B28+6912*B7*B9*B29^3*P16*B8*B28-4320*B31*B9*B29^2*P9*B32*B28+2880*B31*B9*B29^3*P9*B32*B28+31104*B7*B29^2*H20*P16*B32*B8-10368*B7*B29^3*H20*P16*B32*B8+20736*B7*B29^2*H21*P16*B32*B8-10368*B7*B29^3*H21*P16*B32*B8-31104*B7*B29^2*H20*O15*B32*B28+10368*B7*B29^3*H20*O15*B32*B28-20736*B7*B29^2*H21*O15*B32*B28+10368*B7*B29^3*H21*O15*B32*B28+82944*B7*B29^2*H20*P16*B8*B28-20736*B7*B29^3*H20*P16*B8*B28-82944*B7*B29^2*H21*P16*B8*B28+20736*B7*B29^3*H21*P16*B8*B28-120*B31^2*K16*B9*B29^2*B32^2*B28^2-480*B31^2*K16*B9*B29^3*B32^2*B28^2-480*B31^2*K16*B9*B29^4*B32^2*B28^2+1728*G20*B31*K16*B29^2*B32*B28^2-864*G20*B31*K16*B29^2*B32^2*B28-864*G20*B31*K16*B29^3*B32*B28^2-1728*G20*B31*K16*B29^3*B32^2*B28-2880*G20*B31*B9*B29^2*B32*B28^2+1440*G20*B31*B9*B29^2*B32^2*B28+1440*G20*B31*B9*B29^3*B32*B28^2+2880*G20*B31*B9*B29^3*B32^2*B28+3360*B31*K16*B9*B29^2*B32*B28^2-2256*B31*K16*B9*B29^2*B32^2*B28+480*B31^2*K16*B9*B29^2*B32*B28-5136*B31*K16*B9*B29^3*B32*B28^2-3936*B31*K16*B9*B29^3*B32^2*B28+720*B31^2*K16*B9*B29^3*B32*B28+1728*B31*K16*B9*B29^4*B32*B28^2+1152*B31*K16*B9*B29^4*B32^2*B28-480*B31^2*K16*B9*B29^4*B32*B28-864*B31*K16*B29^2*H20*B32^2*B28-5184*B31*K16*B29^3*H20*B32*B28^2-864*B31*K16*B29^3*H20*B32^2*B28+2592*B31*K16*B29^4*H20*B32*B28^2+1728*B31*K16*B29^4*H20*B32^2*B28+1440*B31*B9*B29^2*H20*B32^2*B28+8640*B31*B9*B29^3*H20*B32*B28^2+1440*B31*B9*B29^3*H20*B32^2*B28-4320*B31*B9*B29^4*H20*B32*B28^2-2880*B31*B9*B29^4*H20*B32^2*B28+1728*B31*K16*B29^2*H21*B32*B28^2+864*B31*K16*B29^3*H21*B32*B28^2+864*B31*K16*B29^3*H21*B32^2*B28-864*B31*K16*B29^4*H21*B32*B28^2+1728*B31*K16*B29^4*H21*B32^2*B28-2880*B31*B9*B29^2*H21*B32*B28^2-1440*B31*B9*B29^3*H21*B32*B28^2-1440*B31*B9*B29^3*H21*B32^2*B28+1440*B31*B9*B29^4*H21*B32*B28^2-2880*B31*B9*B29^4*H21*B32^2*B28+3456*B7*B31*K16*B29*P16*B32*B8+4608*B7*B31*B9*B29*P16*B32*B8+1728*B7*B31*K16*B29*O15*B32*B28-2880*B7*B31*B9*B29*O15*B32*B28-13824*B7*B31*K16*B29*P16*B8*B28-18432*B7*B31*B9*B29*P16*B8*B28+41472*B7*G20*B29*P16*B32*B8*B28-76032*B7*K16*B29*P16*B32*B8*B28-4608*B7*B9*B29*P16*B32*B8*B28+41472*B7*B29*H20*P16*B32*B8*B28+5184*B7*B31*K16*B29^2*P16*B32*B8-3456*B7*B31*K16*B29^3*P16*B32*B8+6912*B7*B31*B9*B29^2*P16*B32*B8-4608*B7*B31*B9*B29^3*P16*B32*B8+2592*B7*B31*K16*B29^2*O15*B32*B28-1728*B7*B31*K16*B29^3*O15*B32*B28-4320*B7*B31*B9*B29^2*O15*B32*B28+2880*B7*B31*B9*B29^3*O15*B32*B28+13824*B7*B31*K16*B29^2*P16*B8*B28-3456*B7*B31*K16*B29^3*P16*B8*B28+18432*B7*B31*B9*B29^2*P16*B8*B28-4608*B7*B31*B9*B29^3*P16*B8*B28-20736*B7*G20*B29^2*P16*B32*B8*B28+79488*B7*K16*B29^2*P16*B32*B8*B28-20736*B7*K16*B29^3*P16*B32*B8*B28+16128*B7*B9*B29^2*P16*B32*B8*B28-6912*B7*B9*B29^3*P16*B32*B8*B28-62208*B7*B29^2*H20*P16*B32*B8*B28+20736*B7*B29^3*H20*P16*B32*B8*B28-41472*B7*B29^2*H21*P16*B32*B8*B28+20736*B7*B29^3*H21*P16*B32*B8*B28-10368*B7*B31*K16*B29^2*P16*B32*B8*B28+6912*B7*B31*K16*B29^3*P16*B32*B8*B28-13824*B7*B31*B9*B29^2*P16*B32*B8*B28+9216*B7*B31*B9*B29^3*P16*B32*B8*B28-6912*B7*B31*K16*B29*P16*B32*B8*B28-9216*B7*B31*B9*B29*P16*B32*B8*B28)^(1/2)-36*G20*B29+57*K16*B29+B9*B29+144*B7*O15+36*B29*H20-72*B29*H21-72*B29*P9-6*B31*K16*B29+10*B31*B9*B29-72*B7*B29*O15-36*G20*B29*B32+57*K16*B29*B32+B9*B29*B32-288*B7*P16*B8+72*K16*B29*B28+24*B9*B29*B28-36*B29*H20*B32-144*B29*H20*B28+144*B29*H21*B28+3*B31*K16*B29^2-5*B31*B9*B29^2-18*K16*B29^2*B32-6*B9*B29^2*B32-36*K16*B29^2*B28-12*B9*B29^2*B28+36*B29^2*H20*B32+36*B29^2*H21*B32+72*B29^2*H20*B28-72*B29^2*H21*B28-72*B29^2*H20*B32*B28-72*B29^2*H21*B32*B28-3*B31*K16*B29*B32+5*B31*B9*B29*B32+12*B31*K16*B29*B28-20*B31*B9*B29*B28+144*B7*B29*P16*B8+72*G20*B29*B32*B28-114*K16*B29*B32*B28-2*B9*B29*B32*B28+72*B29*H20*B32*B28-6*B31*K16*B29^2*B32+10*B31*B9*B29^2*B32-6*B31*K16*B29^2*B28+10*B31*B9*B29^2*B28+36*K16*B29^2*B32*B28+12*B9*B29^2*B32*B28+12*B31*K16*B29^2*B32*B28-20*B31*B9*B29^2*B32*B28+6*B31*K16*B29*B32*B28-10*B31*B9*B29*B32*B28)/(144*(2*B7-B7*B29))</a:t>
          </a:r>
          <a:b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PEPCK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=B29*(H20-H21-O24+1/2*K8-K7-2*K8-1/2*B31*K9)</a:t>
          </a:r>
          <a:b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PPDKM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=(0.5*G20-0.25*(1-B31)*(1/3*K7*(1-B8*P16/P15)-1/3*B9)-K7*(1+2*B8*P16/P15)+1/6*B9+0.5*(H21+O24))</a:t>
          </a:r>
          <a:b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PPDKBS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=(1-B29)/2*(H20-H21-O24+1/2*K8-K7-2*K8-1/2*B31*K9)</a:t>
          </a:r>
          <a:b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MDHM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=B32/(1-0.5*B29)*((1-B29)/2*(H20-H21+1/2*K8-K7-2*K8-1/2*B31*K9)+(0.5*G20-0.25*(1-B31)*(1/3*K7*(1-B8*P16/P15)-1/3*B9)-K7*(1+2*B8*P16/P15)+1/6*B9+0.5*(H21)))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Iinc: B4;CM: B5, O15; OM: B6, M16; Gbs: B7; γ*: B8; RLIGHT: B9; AB BS/M: B10; fPH: B28; fPEPCK: B29; fRLIGHT: B30; fCS: B31; f MDH  M: B32; JATP M: G20; JNADPH M: G21; JATP BS: H20; JNADPH BS: H21; VC: K7; VO: K8; OBS: P16; RLightBS: P9; JNADPH: K16; CBS: P15; VC: k7; MDHM: O24; Cstot: k9.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klin.anu.edu.au\home\U1025966\My%20Documents\Chandra\DILIPHO\dynamic%20model\dynamic%20CO2\Dynamic%20model%20C3%203.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Light reactions"/>
      <sheetName val="Model"/>
      <sheetName val="Integration"/>
      <sheetName val="Time Plots"/>
      <sheetName val="A_Ci Curves"/>
      <sheetName val="Output Curves"/>
      <sheetName val="A_PPFD Curves"/>
    </sheetNames>
    <sheetDataSet>
      <sheetData sheetId="0">
        <row r="5">
          <cell r="A5" t="str">
            <v>αV</v>
          </cell>
        </row>
        <row r="9">
          <cell r="B9">
            <v>-0.8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Y585"/>
  <sheetViews>
    <sheetView tabSelected="1" zoomScaleNormal="100" workbookViewId="0">
      <selection activeCell="E10" sqref="E10"/>
    </sheetView>
  </sheetViews>
  <sheetFormatPr defaultColWidth="9.109375" defaultRowHeight="13.8" x14ac:dyDescent="0.25"/>
  <cols>
    <col min="1" max="1" width="19.109375" style="2" customWidth="1"/>
    <col min="2" max="2" width="9.109375" style="1" customWidth="1"/>
    <col min="3" max="3" width="9.109375" style="10" hidden="1" customWidth="1"/>
    <col min="4" max="4" width="9.109375" style="10" customWidth="1"/>
    <col min="5" max="5" width="12.44140625" style="10" bestFit="1" customWidth="1"/>
    <col min="6" max="6" width="13" style="10" customWidth="1"/>
    <col min="7" max="9" width="9.109375" style="10" customWidth="1"/>
    <col min="10" max="10" width="21.88671875" style="10" customWidth="1"/>
    <col min="11" max="13" width="9.109375" style="10" customWidth="1"/>
    <col min="14" max="14" width="19.33203125" style="10" customWidth="1"/>
    <col min="15" max="17" width="9.109375" style="10" customWidth="1"/>
    <col min="18" max="18" width="15.88671875" style="10" customWidth="1"/>
    <col min="19" max="21" width="9.109375" style="10" customWidth="1"/>
    <col min="22" max="22" width="17.33203125" style="10" hidden="1" customWidth="1"/>
    <col min="23" max="25" width="9.109375" style="10" hidden="1" customWidth="1"/>
    <col min="26" max="53" width="9.109375" style="10" customWidth="1"/>
    <col min="54" max="54" width="9.44140625" style="10" customWidth="1"/>
    <col min="55" max="72" width="9.109375" style="10" customWidth="1"/>
    <col min="73" max="76" width="9.109375" style="10"/>
    <col min="77" max="96" width="4.5546875" style="10" customWidth="1"/>
    <col min="97" max="16384" width="9.109375" style="10"/>
  </cols>
  <sheetData>
    <row r="1" spans="1:77" x14ac:dyDescent="0.25">
      <c r="C1" s="1"/>
      <c r="D1" s="1"/>
      <c r="F1" s="1"/>
      <c r="G1" s="1"/>
      <c r="H1" s="1"/>
      <c r="O1" s="11"/>
      <c r="P1" s="12"/>
      <c r="Q1" s="12"/>
      <c r="R1" s="12"/>
    </row>
    <row r="2" spans="1:77" ht="17.399999999999999" x14ac:dyDescent="0.25">
      <c r="A2" s="104" t="s">
        <v>12</v>
      </c>
      <c r="B2" s="105"/>
      <c r="C2" s="1"/>
      <c r="D2" s="1"/>
      <c r="F2" s="106" t="s">
        <v>0</v>
      </c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8"/>
    </row>
    <row r="3" spans="1:77" x14ac:dyDescent="0.25">
      <c r="A3" s="10"/>
      <c r="B3" s="10"/>
      <c r="C3" s="1"/>
      <c r="D3" s="1"/>
      <c r="F3" s="1"/>
      <c r="G3" s="1"/>
      <c r="H3" s="1"/>
      <c r="O3" s="12"/>
      <c r="P3" s="12"/>
      <c r="R3" s="12"/>
      <c r="S3" s="12"/>
      <c r="T3" s="12"/>
      <c r="U3" s="12"/>
      <c r="V3" s="17"/>
      <c r="W3" s="17"/>
      <c r="X3" s="17"/>
    </row>
    <row r="4" spans="1:77" x14ac:dyDescent="0.25">
      <c r="A4" s="67" t="s">
        <v>3</v>
      </c>
      <c r="B4" s="68">
        <v>1800</v>
      </c>
      <c r="C4" s="7"/>
      <c r="F4" s="56" t="s">
        <v>75</v>
      </c>
      <c r="G4" s="16"/>
      <c r="H4" s="15"/>
      <c r="J4" s="18" t="s">
        <v>13</v>
      </c>
      <c r="K4" s="58"/>
      <c r="M4" s="14" t="s">
        <v>14</v>
      </c>
      <c r="N4" s="16"/>
      <c r="O4" s="16"/>
      <c r="P4" s="15"/>
      <c r="Q4" s="17"/>
      <c r="R4" s="18" t="s">
        <v>15</v>
      </c>
      <c r="S4" s="19"/>
      <c r="T4" s="15"/>
      <c r="V4" s="17"/>
      <c r="W4" s="17"/>
      <c r="X4" s="17"/>
      <c r="AK4" s="20"/>
    </row>
    <row r="5" spans="1:77" ht="16.2" x14ac:dyDescent="0.35">
      <c r="A5" s="5" t="s">
        <v>101</v>
      </c>
      <c r="B5" s="61">
        <v>500</v>
      </c>
      <c r="C5" s="9"/>
      <c r="F5" s="5"/>
      <c r="G5" s="26" t="s">
        <v>1</v>
      </c>
      <c r="H5" s="27" t="s">
        <v>2</v>
      </c>
      <c r="J5" s="23" t="s">
        <v>11</v>
      </c>
      <c r="K5" s="36">
        <f>K7-0.5*K8-B9</f>
        <v>19.932837676187141</v>
      </c>
      <c r="M5" s="25"/>
      <c r="N5" s="26"/>
      <c r="O5" s="26" t="s">
        <v>1</v>
      </c>
      <c r="P5" s="27" t="s">
        <v>2</v>
      </c>
      <c r="R5" s="28" t="s">
        <v>18</v>
      </c>
      <c r="S5" s="17"/>
      <c r="T5" s="29">
        <f>K15/K6</f>
        <v>6.1949098960516524</v>
      </c>
      <c r="V5" s="17"/>
      <c r="W5" s="17" t="s">
        <v>19</v>
      </c>
      <c r="X5" s="17"/>
      <c r="AA5" s="20"/>
      <c r="AC5" s="20"/>
      <c r="AK5" s="20"/>
      <c r="AM5" s="83"/>
      <c r="AZ5" s="20"/>
      <c r="BW5" s="20"/>
    </row>
    <row r="6" spans="1:77" ht="16.2" x14ac:dyDescent="0.35">
      <c r="A6" s="5" t="s">
        <v>102</v>
      </c>
      <c r="B6" s="61">
        <v>210000</v>
      </c>
      <c r="C6" s="3"/>
      <c r="F6" s="5" t="s">
        <v>87</v>
      </c>
      <c r="G6" s="9">
        <f>B4/(1+B10)</f>
        <v>692.30769230769226</v>
      </c>
      <c r="H6" s="8">
        <f>G6*B10</f>
        <v>1107.6923076923076</v>
      </c>
      <c r="J6" s="23" t="s">
        <v>17</v>
      </c>
      <c r="K6" s="24">
        <f>K5+B9</f>
        <v>20.732837676187142</v>
      </c>
      <c r="M6" s="25" t="s">
        <v>20</v>
      </c>
      <c r="N6" s="17"/>
      <c r="O6" s="59">
        <v>0</v>
      </c>
      <c r="P6" s="30">
        <f>K7</f>
        <v>21.342722123980309</v>
      </c>
      <c r="R6" s="32" t="s">
        <v>74</v>
      </c>
      <c r="S6" s="17"/>
      <c r="T6" s="33">
        <f>IF(ISNUMBER(T19/K26),T19/K26,"-")</f>
        <v>0.18916906655570401</v>
      </c>
      <c r="V6" s="17" t="s">
        <v>21</v>
      </c>
      <c r="W6" s="34">
        <f>O6+P6</f>
        <v>21.342722123980309</v>
      </c>
      <c r="X6" s="17"/>
      <c r="AZ6" s="20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X6" s="88"/>
      <c r="BY6" s="89"/>
    </row>
    <row r="7" spans="1:77" ht="16.2" x14ac:dyDescent="0.35">
      <c r="A7" s="5" t="s">
        <v>100</v>
      </c>
      <c r="B7" s="61">
        <v>1.5E-3</v>
      </c>
      <c r="C7" s="3"/>
      <c r="F7" s="5" t="s">
        <v>5</v>
      </c>
      <c r="G7" s="7">
        <f>B11*B12</f>
        <v>0.27999999999999997</v>
      </c>
      <c r="H7" s="6">
        <f>B11*B12</f>
        <v>0.27999999999999997</v>
      </c>
      <c r="J7" s="23" t="s">
        <v>76</v>
      </c>
      <c r="K7" s="24">
        <f>(K16+1/3*B9)/(2+4*B8*P16/P15)</f>
        <v>21.342722123980309</v>
      </c>
      <c r="M7" s="25" t="s">
        <v>22</v>
      </c>
      <c r="N7" s="17"/>
      <c r="O7" s="59">
        <v>0</v>
      </c>
      <c r="P7" s="30">
        <f>K8</f>
        <v>1.2197688955863353</v>
      </c>
      <c r="R7" s="28" t="s">
        <v>23</v>
      </c>
      <c r="S7" s="17"/>
      <c r="T7" s="29">
        <f>K15/K14</f>
        <v>2.8631940416620649</v>
      </c>
      <c r="V7" s="17" t="s">
        <v>24</v>
      </c>
      <c r="W7" s="35">
        <f>O7+P7</f>
        <v>1.2197688955863353</v>
      </c>
      <c r="X7" s="17"/>
      <c r="Y7" s="12"/>
      <c r="Z7" s="12"/>
      <c r="AA7" s="12"/>
      <c r="AC7" s="12"/>
      <c r="AD7" s="12"/>
      <c r="AE7" s="12"/>
      <c r="AF7" s="12"/>
      <c r="AG7" s="12"/>
      <c r="AJ7" s="12"/>
      <c r="AK7" s="12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X7" s="88"/>
      <c r="BY7" s="90"/>
    </row>
    <row r="8" spans="1:77" ht="16.2" x14ac:dyDescent="0.35">
      <c r="A8" s="5" t="s">
        <v>10</v>
      </c>
      <c r="B8" s="61">
        <v>2.0000000000000001E-4</v>
      </c>
      <c r="C8" s="3"/>
      <c r="F8" s="4" t="s">
        <v>88</v>
      </c>
      <c r="G8" s="7">
        <f>1-MAX(0,(B25*G6+1-B26)/(2*B27)-SQRT(POWER(B25*G6+1-B26,2)-4*B25*G6*B27*(1-B26))/(2*B27)+B26)</f>
        <v>0.37134066156019918</v>
      </c>
      <c r="H8" s="6">
        <f>1-MAX(0,(B25*H6+1-B26)/(2*B27)-SQRT(POWER(B25*H6+1-B26,2)-4*B25*H6*B27*(1-B26))/(2*B27)+B26)</f>
        <v>0.23673083083838597</v>
      </c>
      <c r="J8" s="23" t="s">
        <v>77</v>
      </c>
      <c r="K8" s="24">
        <f>K7*2*B8*P16/P15</f>
        <v>1.2197688955863353</v>
      </c>
      <c r="M8" s="21" t="s">
        <v>25</v>
      </c>
      <c r="N8" s="17"/>
      <c r="O8" s="59">
        <f>K13-P8</f>
        <v>0</v>
      </c>
      <c r="P8" s="30">
        <f>K13</f>
        <v>1.2197688955863353</v>
      </c>
      <c r="R8" s="28" t="s">
        <v>26</v>
      </c>
      <c r="S8" s="17"/>
      <c r="T8" s="29">
        <f>P23/K14</f>
        <v>0.64311746246215906</v>
      </c>
      <c r="V8" s="17" t="s">
        <v>27</v>
      </c>
      <c r="W8" s="35">
        <f>O8+P8</f>
        <v>1.2197688955863353</v>
      </c>
      <c r="X8" s="17"/>
      <c r="Y8" s="12"/>
      <c r="AA8" s="51"/>
      <c r="AC8" s="12"/>
      <c r="AD8" s="51"/>
      <c r="AE8" s="12"/>
      <c r="AF8" s="12"/>
      <c r="AG8" s="51"/>
      <c r="AK8" s="51"/>
      <c r="AZ8" s="12"/>
      <c r="BA8" s="84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X8" s="88"/>
      <c r="BY8" s="90"/>
    </row>
    <row r="9" spans="1:77" ht="16.2" x14ac:dyDescent="0.35">
      <c r="A9" s="55" t="s">
        <v>16</v>
      </c>
      <c r="B9" s="22">
        <v>0.8</v>
      </c>
      <c r="C9" s="3"/>
      <c r="F9" s="4" t="s">
        <v>89</v>
      </c>
      <c r="G9" s="7">
        <f>MAX(0,(B22*B5+1-B23)/(2*B24)-SQRT(POWER(B22*B5+1-B23,2)-4*B22*B5*B24*(1-B23))/(2*B24)+B23)</f>
        <v>0.98670022137852431</v>
      </c>
      <c r="H9" s="6">
        <f>MAX(0,(B22*B5+1-B23)/(2*B24)-SQRT(POWER(B22*B5+1-B23,2)-4*B22*B5*B24*(1-B23))/(2*B24)+B23)</f>
        <v>0.98670022137852431</v>
      </c>
      <c r="J9" s="23" t="s">
        <v>78</v>
      </c>
      <c r="K9" s="36">
        <f>K10-K11</f>
        <v>6.6442792253957137</v>
      </c>
      <c r="M9" s="21" t="s">
        <v>16</v>
      </c>
      <c r="N9" s="37"/>
      <c r="O9" s="37">
        <f>B9-P9</f>
        <v>0.4</v>
      </c>
      <c r="P9" s="33">
        <f>B9*B30</f>
        <v>0.4</v>
      </c>
      <c r="R9" s="28" t="s">
        <v>28</v>
      </c>
      <c r="S9" s="17"/>
      <c r="T9" s="29">
        <f>IF(ISNUMBER(P23/O23),P23/O23,"-")</f>
        <v>1.802042394394173</v>
      </c>
      <c r="V9" s="17" t="s">
        <v>29</v>
      </c>
      <c r="W9" s="35">
        <f>O9+P9</f>
        <v>0.8</v>
      </c>
      <c r="X9" s="17"/>
      <c r="Y9" s="12"/>
      <c r="Z9" s="12"/>
      <c r="AA9" s="12"/>
      <c r="AC9" s="12"/>
      <c r="AD9" s="12"/>
      <c r="AE9" s="12"/>
      <c r="AF9" s="12"/>
      <c r="AG9" s="12"/>
      <c r="AJ9" s="12"/>
      <c r="AK9" s="12"/>
      <c r="BA9" s="85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X9" s="88"/>
      <c r="BY9" s="90"/>
    </row>
    <row r="10" spans="1:77" ht="16.2" x14ac:dyDescent="0.35">
      <c r="A10" s="60" t="s">
        <v>103</v>
      </c>
      <c r="B10" s="61">
        <v>1.6</v>
      </c>
      <c r="C10" s="3"/>
      <c r="F10" s="55" t="s">
        <v>81</v>
      </c>
      <c r="G10" s="7">
        <f>G8*$B$11*G9</f>
        <v>0.25648133907780735</v>
      </c>
      <c r="H10" s="6">
        <f>H8*$B$11*H9</f>
        <v>0.16350765423675018</v>
      </c>
      <c r="J10" s="23" t="s">
        <v>79</v>
      </c>
      <c r="K10" s="36">
        <f>2*K7+3/2*K8-B9/3</f>
        <v>44.248430924673457</v>
      </c>
      <c r="L10" s="38"/>
      <c r="M10" s="21" t="s">
        <v>31</v>
      </c>
      <c r="N10" s="17"/>
      <c r="O10" s="37">
        <f>K9-P10</f>
        <v>3.3221396126978568</v>
      </c>
      <c r="P10" s="33">
        <f>K9*B31</f>
        <v>3.3221396126978568</v>
      </c>
      <c r="R10" s="28" t="s">
        <v>32</v>
      </c>
      <c r="S10" s="17"/>
      <c r="T10" s="29">
        <f>IF(ISNUMBER(P28/O28),P28/O28,"-")</f>
        <v>1.814846323777102</v>
      </c>
      <c r="V10" s="17" t="s">
        <v>9</v>
      </c>
      <c r="W10" s="17">
        <f>K5+O9+1/2*O8-K26-O6</f>
        <v>-4.7437064435791143</v>
      </c>
      <c r="X10" s="17"/>
      <c r="Y10" s="12"/>
      <c r="AA10" s="12"/>
      <c r="AC10" s="12"/>
      <c r="AD10" s="12"/>
      <c r="AE10" s="12"/>
      <c r="AF10" s="12"/>
      <c r="AG10" s="12"/>
      <c r="AK10" s="12"/>
      <c r="AZ10" s="12"/>
      <c r="BA10" s="84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X10" s="88"/>
      <c r="BY10" s="90"/>
    </row>
    <row r="11" spans="1:77" ht="16.2" x14ac:dyDescent="0.35">
      <c r="A11" s="60" t="s">
        <v>104</v>
      </c>
      <c r="B11" s="61">
        <v>0.7</v>
      </c>
      <c r="C11" s="3"/>
      <c r="F11" s="5" t="s">
        <v>90</v>
      </c>
      <c r="G11" s="9">
        <f>G6*B12</f>
        <v>276.92307692307691</v>
      </c>
      <c r="H11" s="8">
        <f>H6*B12</f>
        <v>443.07692307692309</v>
      </c>
      <c r="J11" s="28" t="s">
        <v>30</v>
      </c>
      <c r="K11" s="36">
        <f>5/3*K12</f>
        <v>37.604151699277743</v>
      </c>
      <c r="M11" s="21" t="s">
        <v>34</v>
      </c>
      <c r="N11" s="17"/>
      <c r="O11" s="37">
        <f>(0.5*G20-0.25*(1-B31)*(1/3*K7*(1-B8*P16/P15)-1/3*B9)-K7*(1+2*B8*P16/P15)+1/6*B9+0.5*(H21+O24))</f>
        <v>13.979290627629174</v>
      </c>
      <c r="P11" s="33">
        <f>(1-B29)/2*(H20-H21-O24+1/2*K8-K7-2*K8-1/2*B31*K9)</f>
        <v>2.1844987189246217</v>
      </c>
      <c r="Q11" s="38"/>
      <c r="R11" s="28" t="s">
        <v>35</v>
      </c>
      <c r="S11" s="17"/>
      <c r="T11" s="29">
        <f>P28/K15</f>
        <v>0.64474081886710255</v>
      </c>
      <c r="V11" s="17" t="s">
        <v>11</v>
      </c>
      <c r="W11" s="35">
        <f>P6+O6-0.5*O8-0.5*P8-O9-P9-T19+T19-X31+X31</f>
        <v>19.932837676187145</v>
      </c>
      <c r="X11" s="17"/>
      <c r="Y11" s="12"/>
      <c r="Z11" s="12"/>
      <c r="AA11" s="12"/>
      <c r="AC11" s="12"/>
      <c r="AD11" s="12"/>
      <c r="AE11" s="12"/>
      <c r="AF11" s="12"/>
      <c r="AG11" s="12"/>
      <c r="AJ11" s="12"/>
      <c r="AK11" s="12"/>
      <c r="BA11" s="84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X11" s="88"/>
      <c r="BY11" s="90"/>
    </row>
    <row r="12" spans="1:77" ht="16.2" x14ac:dyDescent="0.35">
      <c r="A12" s="70" t="s">
        <v>134</v>
      </c>
      <c r="B12" s="61">
        <v>0.4</v>
      </c>
      <c r="C12" s="3"/>
      <c r="F12" s="5" t="s">
        <v>91</v>
      </c>
      <c r="G12" s="9">
        <f>G11*B11</f>
        <v>193.84615384615381</v>
      </c>
      <c r="H12" s="8">
        <f>H11*B11</f>
        <v>310.15384615384613</v>
      </c>
      <c r="J12" s="28" t="s">
        <v>33</v>
      </c>
      <c r="K12" s="36">
        <f>K7+K8</f>
        <v>22.562491019566643</v>
      </c>
      <c r="M12" s="21" t="s">
        <v>36</v>
      </c>
      <c r="N12" s="17"/>
      <c r="O12" s="37">
        <f>K10-P12</f>
        <v>16.009149419798625</v>
      </c>
      <c r="P12" s="33">
        <f>(H21+O24-0.5*P7)</f>
        <v>28.239281504874832</v>
      </c>
      <c r="Q12" s="38"/>
      <c r="R12" s="79" t="s">
        <v>127</v>
      </c>
      <c r="S12" s="17"/>
      <c r="T12" s="6">
        <f>IF(ISNUMBER(O28/O27),O28/O27,"-")</f>
        <v>1.4182353938125816</v>
      </c>
      <c r="V12" s="17" t="s">
        <v>37</v>
      </c>
      <c r="W12" s="35">
        <f>T24-T26+X30-X31</f>
        <v>0</v>
      </c>
      <c r="X12" s="17"/>
      <c r="Y12" s="12"/>
      <c r="AA12" s="12"/>
      <c r="AC12" s="12"/>
      <c r="AD12" s="12"/>
      <c r="AE12" s="12"/>
      <c r="AF12" s="12"/>
      <c r="AG12" s="12"/>
      <c r="AK12" s="12"/>
      <c r="AZ12" s="12"/>
      <c r="BA12" s="84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X12" s="88"/>
      <c r="BY12" s="90"/>
    </row>
    <row r="13" spans="1:77" ht="16.2" x14ac:dyDescent="0.35">
      <c r="A13" s="60" t="s">
        <v>106</v>
      </c>
      <c r="B13" s="61">
        <v>0.01</v>
      </c>
      <c r="F13" s="5" t="s">
        <v>92</v>
      </c>
      <c r="G13" s="9">
        <f>G12/B17</f>
        <v>193.84615384615381</v>
      </c>
      <c r="H13" s="8">
        <f>H12/B17</f>
        <v>310.15384615384613</v>
      </c>
      <c r="J13" s="28" t="s">
        <v>80</v>
      </c>
      <c r="K13" s="24">
        <f>K8</f>
        <v>1.2197688955863353</v>
      </c>
      <c r="M13" s="25" t="s">
        <v>30</v>
      </c>
      <c r="N13" s="17"/>
      <c r="O13" s="37">
        <f>5/3*O14</f>
        <v>0</v>
      </c>
      <c r="P13" s="33">
        <f>5/3*P14</f>
        <v>37.604151699277743</v>
      </c>
      <c r="R13" s="28" t="s">
        <v>42</v>
      </c>
      <c r="S13" s="17"/>
      <c r="T13" s="29">
        <f>IF(ISNUMBER((K27+P24)/O24),(K27+P24)/O24,"-")</f>
        <v>0.55140255679666472</v>
      </c>
      <c r="V13" s="17" t="s">
        <v>39</v>
      </c>
      <c r="W13" s="35">
        <f>4*T22+4*T24+3*T20+2*X30</f>
        <v>138.36720590036731</v>
      </c>
      <c r="X13" s="17"/>
      <c r="Y13" s="12"/>
      <c r="Z13" s="12"/>
      <c r="AA13" s="12"/>
      <c r="AC13" s="12"/>
      <c r="AD13" s="12"/>
      <c r="AE13" s="12"/>
      <c r="AF13" s="12"/>
      <c r="AG13" s="12"/>
      <c r="AJ13" s="12"/>
      <c r="AK13" s="12"/>
      <c r="BA13" s="84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X13" s="88"/>
      <c r="BY13" s="90"/>
    </row>
    <row r="14" spans="1:77" ht="16.2" x14ac:dyDescent="0.35">
      <c r="A14" s="60" t="s">
        <v>105</v>
      </c>
      <c r="B14" s="61">
        <v>0.01</v>
      </c>
      <c r="C14" s="3"/>
      <c r="F14" s="55" t="s">
        <v>4</v>
      </c>
      <c r="G14" s="7">
        <f>B20/(1-B20+$B$11)</f>
        <v>5.8826989822930761E-5</v>
      </c>
      <c r="H14" s="6">
        <f>B21/(1-B21+$B$11)</f>
        <v>0.7</v>
      </c>
      <c r="J14" s="28" t="s">
        <v>38</v>
      </c>
      <c r="K14" s="36">
        <f>1/2*K8+K10</f>
        <v>44.858315372466627</v>
      </c>
      <c r="M14" s="25" t="s">
        <v>33</v>
      </c>
      <c r="N14" s="17"/>
      <c r="O14" s="37">
        <f>O6+O7</f>
        <v>0</v>
      </c>
      <c r="P14" s="33">
        <f>P6+P7</f>
        <v>22.562491019566643</v>
      </c>
      <c r="R14" s="28" t="s">
        <v>45</v>
      </c>
      <c r="S14" s="17"/>
      <c r="T14" s="29">
        <f>IF(ISNUMBER(O25/K26),O25/K26,"-")</f>
        <v>0.35542197244743523</v>
      </c>
      <c r="V14" s="17" t="s">
        <v>43</v>
      </c>
      <c r="W14" s="35">
        <f>3*T23+T19+3*T26+3*T21+3*T27+3*X31+3*P10</f>
        <v>138.36720590036731</v>
      </c>
      <c r="X14" s="17"/>
      <c r="Y14" s="12"/>
      <c r="AA14" s="12"/>
      <c r="AC14" s="12"/>
      <c r="AD14" s="12"/>
      <c r="AE14" s="12"/>
      <c r="AF14" s="12"/>
      <c r="AG14" s="12"/>
      <c r="AK14" s="12"/>
      <c r="AZ14" s="12"/>
      <c r="BA14" s="84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X14" s="88"/>
      <c r="BY14" s="90"/>
    </row>
    <row r="15" spans="1:77" ht="16.2" x14ac:dyDescent="0.35">
      <c r="A15" s="60" t="s">
        <v>107</v>
      </c>
      <c r="B15" s="61">
        <v>1</v>
      </c>
      <c r="C15" s="3"/>
      <c r="F15" s="5" t="s">
        <v>93</v>
      </c>
      <c r="G15" s="9">
        <f>(1/$B$11-G14)*$G$12</f>
        <v>276.91167353735733</v>
      </c>
      <c r="H15" s="8">
        <f>(1/$B$11-H14)*$H$12</f>
        <v>225.96923076923079</v>
      </c>
      <c r="J15" s="28" t="s">
        <v>41</v>
      </c>
      <c r="K15" s="36">
        <f>K10+K7+2*K8+0.5*K9+K27+2*P11+2*O11</f>
        <v>128.43806129344426</v>
      </c>
      <c r="M15" s="73" t="s">
        <v>71</v>
      </c>
      <c r="N15" s="74"/>
      <c r="O15" s="9">
        <f>B5</f>
        <v>500</v>
      </c>
      <c r="P15" s="8">
        <f>(72*G20-186*K16-26*B9+72*H20+144*P9+18*K16*B29^2+6*B9*B29^2-36*B29^2*H20+36*B29^2*H21+Y20-36*G20*B29+57*K16*B29+B9*B29+144*B7*O15+36*B29*H20-72*B29*H21-72*B29*P9-6*B31*K16*B29+10*B31*B9*B29-72*B7*B29*O15-36*G20*B29*B32+57*K16*B29*B32+B9*B29*B32-288*B7*P16*B8+72*K16*B29*B28+24*B9*B29*B28-36*B29*H20*B32-144*B29*H20*B28+144*B29*H21*B28+3*B31*K16*B29^2-5*B31*B9*B29^2-18*K16*B29^2*B32-6*B9*B29^2*B32-36*K16*B29^2*B28-12*B9*B29^2*B28+36*B29^2*H20*B32+36*B29^2*H21*B32+72*B29^2*H20*B28-72*B29^2*H21*B28-72*B29^2*H20*B32*B28-72*B29^2*H21*B32*B28-3*B31*K16*B29*B32+5*B31*B9*B29*B32+12*B31*K16*B29*B28-20*B31*B9*B29*B28+144*B7*B29*P16*B8+72*G20*B29*B32*B28-114*K16*B29*B32*B28-2*B9*B29*B32*B28+72*B29*H20*B32*B28-6*B31*K16*B29^2*B32+10*B31*B9*B29^2*B32-6*B31*K16*B29^2*B28+10*B31*B9*B29^2*B28+36*K16*B29^2*B32*B28+12*B9*B29^2*B32*B28+12*B31*K16*B29^2*B32*B28-20*B31*B9*B29^2*B32*B28+6*B31*K16*B29*B32*B28-10*B31*B9*B29*B32*B28)/(144*(2*B7-B7*B29))</f>
        <v>2386.7798496038176</v>
      </c>
      <c r="R15" s="102" t="s">
        <v>126</v>
      </c>
      <c r="S15" s="40"/>
      <c r="T15" s="103">
        <f>(K15+K14)/K6</f>
        <v>8.358545963293377</v>
      </c>
      <c r="V15" s="17" t="s">
        <v>46</v>
      </c>
      <c r="W15" s="35">
        <f>X31</f>
        <v>0</v>
      </c>
      <c r="X15" s="17"/>
      <c r="Y15" s="12"/>
      <c r="Z15" s="12"/>
      <c r="AA15" s="12"/>
      <c r="AC15" s="12"/>
      <c r="AD15" s="12"/>
      <c r="AE15" s="12"/>
      <c r="AF15" s="12"/>
      <c r="AG15" s="12"/>
      <c r="AJ15" s="12"/>
      <c r="AK15" s="12"/>
      <c r="BA15" s="84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X15" s="88"/>
      <c r="BY15" s="90"/>
    </row>
    <row r="16" spans="1:77" ht="16.2" x14ac:dyDescent="0.35">
      <c r="A16" s="70" t="s">
        <v>85</v>
      </c>
      <c r="B16" s="61">
        <v>4.67</v>
      </c>
      <c r="C16" s="3"/>
      <c r="F16" s="5" t="s">
        <v>94</v>
      </c>
      <c r="G16" s="9">
        <f>(1+G14)*$G$13</f>
        <v>193.85755723187333</v>
      </c>
      <c r="H16" s="8">
        <f>(1+H14)*$H$13</f>
        <v>527.26153846153841</v>
      </c>
      <c r="J16" s="5" t="s">
        <v>99</v>
      </c>
      <c r="K16" s="24">
        <f>G21+H21</f>
        <v>44.85831537246662</v>
      </c>
      <c r="M16" s="39" t="s">
        <v>72</v>
      </c>
      <c r="N16" s="40"/>
      <c r="O16" s="72">
        <f>B6</f>
        <v>210000</v>
      </c>
      <c r="P16" s="47">
        <f>B6+1/4*H18/(0.047*B7)</f>
        <v>341020.20869772974</v>
      </c>
      <c r="U16" s="17"/>
      <c r="V16" s="78" t="s">
        <v>47</v>
      </c>
      <c r="W16" s="35">
        <f>W15+O25</f>
        <v>8.9127547732124555</v>
      </c>
      <c r="X16" s="17"/>
      <c r="Y16" s="12"/>
      <c r="AA16" s="12"/>
      <c r="AC16" s="12"/>
      <c r="AD16" s="12"/>
      <c r="AE16" s="12"/>
      <c r="AF16" s="12"/>
      <c r="AG16" s="12"/>
      <c r="AK16" s="12"/>
      <c r="AZ16" s="12"/>
      <c r="BA16" s="84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X16" s="88"/>
      <c r="BY16" s="90"/>
    </row>
    <row r="17" spans="1:77" ht="16.2" x14ac:dyDescent="0.35">
      <c r="A17" s="60" t="s">
        <v>108</v>
      </c>
      <c r="B17" s="61">
        <v>1</v>
      </c>
      <c r="C17" s="3"/>
      <c r="F17" s="5" t="s">
        <v>95</v>
      </c>
      <c r="G17" s="9">
        <f>G15+G16</f>
        <v>470.76923076923066</v>
      </c>
      <c r="H17" s="8">
        <f>H15+H16</f>
        <v>753.23076923076917</v>
      </c>
      <c r="J17" s="71" t="s">
        <v>98</v>
      </c>
      <c r="K17" s="63">
        <f>G20+H20</f>
        <v>128.43806129344426</v>
      </c>
      <c r="O17" s="1"/>
      <c r="P17" s="1"/>
      <c r="Q17" s="17"/>
      <c r="U17" s="17"/>
      <c r="V17" s="17" t="s">
        <v>48</v>
      </c>
      <c r="W17" s="17">
        <f>4*T22+4*T24+3*T20+2*X30-T19-3*T23-3*T27-3*T26-3*T21-3*X31-3*P10</f>
        <v>0</v>
      </c>
      <c r="X17" s="17"/>
      <c r="Y17" s="12"/>
      <c r="Z17" s="12"/>
      <c r="AA17" s="12"/>
      <c r="AC17" s="12"/>
      <c r="AD17" s="12"/>
      <c r="AE17" s="12"/>
      <c r="AF17" s="12"/>
      <c r="AG17" s="12"/>
      <c r="AJ17" s="12"/>
      <c r="AK17" s="12"/>
      <c r="BA17" s="84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X17" s="88"/>
      <c r="BY17" s="90"/>
    </row>
    <row r="18" spans="1:77" ht="16.2" x14ac:dyDescent="0.35">
      <c r="A18" s="60" t="s">
        <v>113</v>
      </c>
      <c r="B18" s="61">
        <v>0.3</v>
      </c>
      <c r="F18" s="5" t="s">
        <v>96</v>
      </c>
      <c r="G18" s="9">
        <f>G15*$G$10</f>
        <v>71.022676835138043</v>
      </c>
      <c r="H18" s="8">
        <f>H15*$H$10</f>
        <v>36.9476988527598</v>
      </c>
      <c r="P18" s="1"/>
      <c r="Q18" s="34"/>
      <c r="R18" s="18" t="s">
        <v>49</v>
      </c>
      <c r="S18" s="19"/>
      <c r="T18" s="15"/>
      <c r="V18" s="17" t="s">
        <v>121</v>
      </c>
      <c r="W18" s="17">
        <f>1/3*(K16+1/3*B9)/(2+4*B8*P16/P15)-1/6*(K16+1/3*B9)/(2+4*B8*P16/P15)*2*B8*P16/P15-1/3*B9</f>
        <v>6.6442792253957128</v>
      </c>
      <c r="X18" s="17"/>
      <c r="Y18" s="12"/>
      <c r="AA18" s="12"/>
      <c r="AC18" s="12"/>
      <c r="AD18" s="12"/>
      <c r="AE18" s="12"/>
      <c r="AF18" s="12"/>
      <c r="AG18" s="12"/>
      <c r="AK18" s="12"/>
      <c r="AZ18" s="12"/>
      <c r="BA18" s="84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X18" s="88"/>
      <c r="BY18" s="90"/>
    </row>
    <row r="19" spans="1:77" ht="16.2" x14ac:dyDescent="0.35">
      <c r="A19" s="60" t="s">
        <v>114</v>
      </c>
      <c r="B19" s="61">
        <v>0.6</v>
      </c>
      <c r="F19" s="5" t="s">
        <v>97</v>
      </c>
      <c r="G19" s="9">
        <f>G18/(1-B20)</f>
        <v>71.029779813119347</v>
      </c>
      <c r="H19" s="8">
        <f>H18/(1-B21)</f>
        <v>123.15899617586598</v>
      </c>
      <c r="O19" s="1"/>
      <c r="R19" s="41" t="s">
        <v>50</v>
      </c>
      <c r="S19" s="17"/>
      <c r="T19" s="33">
        <f>(K26+P9+1/2*P8-P6)</f>
        <v>4.7437064435791108</v>
      </c>
      <c r="V19" s="17" t="s">
        <v>120</v>
      </c>
      <c r="W19" s="17"/>
      <c r="X19" s="17"/>
      <c r="Y19" s="12"/>
      <c r="Z19" s="12"/>
      <c r="AA19" s="12"/>
      <c r="AC19" s="12"/>
      <c r="AD19" s="12"/>
      <c r="AE19" s="12"/>
      <c r="AF19" s="12"/>
      <c r="AG19" s="12"/>
      <c r="AJ19" s="12"/>
      <c r="AK19" s="12"/>
      <c r="BA19" s="84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X19" s="88"/>
      <c r="BY19" s="90"/>
    </row>
    <row r="20" spans="1:77" ht="16.2" x14ac:dyDescent="0.35">
      <c r="A20" s="60" t="s">
        <v>115</v>
      </c>
      <c r="B20" s="61">
        <v>1E-4</v>
      </c>
      <c r="F20" s="5" t="s">
        <v>98</v>
      </c>
      <c r="G20" s="31">
        <f>G18/$B$16+2*$B$15*G18/($B$16*(1-B20))+2*$B$18*B20*G18/($B$16*(1-B20))+(1-$B$15)*G18/($B$16*(1-B20))</f>
        <v>45.628800481405897</v>
      </c>
      <c r="H20" s="30">
        <f>H18/$B$16+2*$B$15*H18/($B$16*(1-B21))+2*$B$19*B21*H18/($B$16*(1-B21))+(1-$B$15)*H18/($B$16*(1-B21))</f>
        <v>82.80926081203836</v>
      </c>
      <c r="M20" s="14" t="s">
        <v>51</v>
      </c>
      <c r="N20" s="16"/>
      <c r="O20" s="42"/>
      <c r="P20" s="43"/>
      <c r="Q20" s="34"/>
      <c r="R20" s="44" t="s">
        <v>52</v>
      </c>
      <c r="S20" s="17"/>
      <c r="T20" s="33">
        <f>O12-O10-O13</f>
        <v>12.687009807100768</v>
      </c>
      <c r="V20" s="17">
        <f>5184*B29*H20^2-21204*K16^2*B29-52*B9^2*B29-5184*G20^2*B29-20736*B29*P9^2+5184*G20^2+34596*K16^2+676*B9^2+5184*H20^2+1296*G20^2*B29^2-3447*K16^2*B29^2+2052*K16^2*B29^3+324*K16^2*B29^4-311*B9^2*B29^2+12*B9^2*B29^3+36*B9^2*B29^4+20736*P9^2+20736*B7^2*O15^2-3888*B29^2*H20^2-2592*B29^3*H20^2+1296*B29^4*H20^2+5184*B29^2*H21^2-5184*B29^3*H21^2+1296*B29^4*H21^2+5184*B29^2*P9^2-26784*G20*K16-3744*G20*B9+9672*K16*B9+10368*G20*H20-26784*K16*H20-3744*B9*H20+20736*G20*P9-53568*K16*P9-7488*B9*P9+20736*H20*P9+2592*G20^2*B29^2*B32+13194*K16^2*B29^2*B32-648*K16^2*B29^4*B32+314*B9^2*B29^2*B32-72*B9^2*B29^4*B32+21600*K16^2*B29^2*B28-1512*K16^2*B29^3*B28-1296*K16^2*B29^4*B28+672*B9^2*B29^2*B28+264*B9^2*B29^3*B28-144*B9^2*B29^4*B28+2592*B29^2*H20^2*B32+5184*B29^3*H20^2*B32-2592*B29^4*H20^2*B32-5184*B29^3*H21^2*B32+2592*B29^4*H21^2*B32+15552*B29^3*H20^2*B28-5184*B29^4*H20^2*B28-20736*B29^2*H21^2*B28+20736*B29^3*H21^2*B28-5184*B29^4*H21^2*B28+21600*G20*K16*B29+2016*G20*B9*B29+20736*B7*G20*O15-3336*K16*B9*B29-53568*B7*K16*O15-7488*B7*B9*O15-10368*G20*B29*H21-5184*K16*B29*H20-1728*B9*B29*H20+26784*K16*B29*H21+20736*B7*H20*O15-20736*G20*B29*P9+3744*B9*B29*H21+43200*K16*B29*P9+4032*B9*B29*P9+41472*B7*P9*O15-10368*B29*H20*H21-20736*B29*H21*P9+36*B31^2*K16^2*B29^2-36*B31^2*K16^2*B29^3+9*B31^2*K16^2*B29^4+100*B31^2*B9^2*B29^2-100*B31^2*B9^2*B29^3+25*B31^2*B9^2*B29^4+5184*B7^2*B29^2*O15^2+1296*G20^2*B29^2*B32^2+3249*K16^2*B29^2*B32^2-2052*K16^2*B29^3*B32^2+324*K16^2*B29^4*B32^2+B9^2*B29^2*B32^2-12*B9^2*B29^3*B32^2+36*B9^2*B29^4*B32^2+82944*B7^2*P16^2*B8^2+5184*K16^2*B29^2*B28^2-5184*K16^2*B29^3*B28^2+1296*K16^2*B29^4*B28^2+576*B9^2*B29^2*B28^2-576*B9^2*B29^3*B28^2+144*B9^2*B29^4*B28^2+1296*B29^2*H20^2*B32^2-2592*B29^3*H20^2*B32^2+1296*B29^4*H20^2*B32^2+1296*B29^4*H21^2*B32^2+20736*B29^2*H20^2*B28^2-20736*B29^3*H20^2*B28^2+5184*B29^4*H20^2*B28^2+20736*B29^2*H21^2*B28^2-20736*B29^3*H21^2*B28^2+5184*B29^4*H21^2*B28^2-1512*G20*K16*B29^2-1296*G20*K16*B29^3+792*G20*B9*B29^2-432*G20*B9*B29^3+2232*B31*K16^2*B29-520*B31*B9^2*B29-3054*K16*B9*B29^2+720*K16*B9*B29^3+216*K16*B9*B29^4-7776*G20*B29^2*H20+2592*G20*B29^3*H20+10368*G20*B29^2*H21-2592*G20*B29^3*H21+20088*K16*B29^2*H20-2808*K16*B29^3*H20-1296*K16*B29^4*H20+2808*B9*B29^2*H20+360*B9*B29^3*H20-432*B9*B29^4*H20-21600*K16*B29^2*H21+1512*K16*B29^3*H21+1296*K16*B29^4*H21+5184*G20*B29^2*P9-2016*B9*B29^2*H21-792*B9*B29^3*H21+432*B9*B29^4*H21-3024*K16*B29^2*P9-2592*K16*B29^3*P9+1584*B9*B29^2*P9-864*B9*B29^3*P9-5184*G20^2*B29*B32-21204*K16^2*B29*B32-52*B9^2*B29*B32+7776*B29^3*H20*H21-2592*B29^4*H20*H21-15552*B29^2*H20*P9+5184*B29^3*H20*P9+20736*B29^2*H21*P9-5184*B29^3*H21*P9-26784*K16^2*B29*B28-1248*B9^2*B29*B28-5184*B29*H20^2*B32-20736*B29*H20^2*B28-1800*B31*K16^2*B29^2+126*B31*K16^2*B29^3+108*B31*K16^2*B29^4+280*B31*B9^2*B29^2+110*B31*B9^2*B29^3-60*B31*B9^2*B29^4-20736*B7^2*B29*O15^2+41472*B29^2*H20*P9*B28-10368*B29^3*H20*P9*B28-41472*B29^2*H21*P9*B28+10368*B29^3*H21*P9*B28+10368*B29*H20^2*B32*B28+9*B31^2*K16^2*B29^2*B32^2+36*B31^2*K16^2*B29^3*B32^2+36*B31^2*K16^2*B29^4*B32^2+25*B31^2*B9^2*B29^2*B32^2+100*B31^2*B9^2*B29^3*B32^2+100*B31^2*B9^2*B29^4*B32^2+144*B31^2*K16^2*B29^2*B28^2-144*B31^2*K16^2*B29^3*B28^2+36*B31^2*K16^2*B29^4*B28^2+400*B31^2*B9^2*B29^2*B28^2-400*B31^2*B9^2*B29^3*B28^2+100*B31^2*B9^2*B29^4*B28^2+20736*B7^2*B29^2*P16^2*B8^2+5184*G20^2*B29^2*B32^2*B28^2+12996*K16^2*B29^2*B32^2*B28^2-8208*K16^2*B29^3*B32^2*B28^2+1296*K16^2*B29^4*B32^2*B28^2+4*B9^2*B29^2*B32^2*B28^2-48*B9^2*B29^3*B32^2*B28^2+144*B9^2*B29^4*B32^2*B28^2+5184*B29^2*H20^2*B32^2*B28^2-10368*B29^3*H20^2*B32^2*B28^2+5184*B29^4*H20^2*B32^2*B28^2+5184*B29^4*H21^2*B32^2*B28^2-120*B31^2*K16*B9*B29^2+120*B31^2*K16*B9*B29^3-30*B31^2*K16*B9*B29^4-4104*G20*K16*B29^2*B32^2+1296*G20*K16*B29^3*B32^2-72*G20*B9*B29^2*B32^2+432*G20*B9*B29^3*B32^2+1206*B31*K16^2*B29^2*B32-234*B31*K16^2*B29^3*B32-324*B31*K16^2*B29^4*B32-490*B31*B9^2*B29^2*B32-50*B31*B9^2*B29^3*B32+180*B31*B9^2*B29^4*B32+114*K16*B9*B29^2*B32^2-720*K16*B9*B29^3*B32^2+216*K16*B9*B29^4*B32^2+2736*B31*K16^2*B29^2*B28+612*B31*K16^2*B29^3*B28-432*B31*K16^2*B29^4*B28-80*B31*B9^2*B29^2*B28-700*B31*B9^2*B29^3*B28+240*B31*B9^2*B29^4*B28+2592*G20*B29^2*H20*B32^2-2592*G20*B29^3*H20*B32^2+3456*K16*B9*B29^2*B28^2-3456*K16*B9*B29^3*B28^2+864*K16*B9*B29^4*B28^2-2592*G20*B29^3*H21*B32^2-4104*K16*B29^2*H20*B32^2+5400*K16*B29^3*H20*B32^2-1296*K16*B29^4*H20*B32^2-72*B9*B29^2*H20*B32^2+504*B9*B29^3*H20*B32^2-432*B9*B29^4*H20*B32^2+4104*K16*B29^3*H21*B32^2-1296*K16*B29^4*H21*B32^2+72*B9*B29^3*H21*B32^2-432*B9*B29^4*H21*B32^2-20736*K16*B29^2*H20*B28^2+20736*K16*B29^3*H20*B28^2-5184*K16*B29^4*H20*B28^2-6912*B9*B29^2*H20*B28^2+6912*B9*B29^3*H20*B28^2-1728*B9*B29^4*H20*B28^2+20736*K16*B29^2*H21*B28^2-20736*K16*B29^3*H21*B28^2+5184*K16*B29^4*H21*B28^2+6912*B9*B29^2*H21*B28^2-6912*B9*B29^3*H21*B28^2+1728*B9*B29^4*H21*B28^2-2592*B29^3*H20*H21*B32^2+2592*B29^4*H20*H21*B32^2-5184*G20^2*B29^2*B32*B28-18180*K16^2*B29^2*B32*B28-6696*K16^2*B29^3*B32*B28+2592*K16^2*B29^4*B32*B28-580*B9^2*B29^2*B32*B28-41472*B29^2*H20*H21*B28^2-312*B9^2*B29^3*B32*B28+41472*B29^3*H20*H21*B28^2+288*B9^2*B29^4*B32*B28-10368*B29^4*H20*H21*B28^2+5184*B29^2*H20^2*B32*B28-25920*B29^3*H20^2*B32*B28+10368*B29^4*H20^2*B32*B28+20736*B29^3*H21^2*B32*B28-10368*B29^4*H21^2*B32*B28-864*G20*B31*K16*B29+1440*G20*B31*B9*B29-3408*B31*K16*B9*B29-20736*B7*G20*B29*O15-864*B31*K16*B29*H20+1440*B31*B9*B29*H20+43200*B7*K16*B29*O15+4032*B7*B9*B29*O15-1728*B31*K16*B29*P9+2880*B31*B9*B29*P9+21600*G20*K16*B29*B32+2016*G20*B9*B29*B32-3336*K16*B9*B29*B32+41472*B7*G20*P16*B8-20736*B7*B29*H21*O15+10368*G20*K16*B29*B28+3456*G20*B9*B29*B28+6912*B7*K16*P16*B8+23040*B7*B9*P16*B8-41472*B7*B29*P9*O15-10368*G20*B29*H20*B32-12672*K16*B9*B29*B28+21600*K16*B29*H20*B32+2016*B9*B29*H20*B32-10368*G20*B29*P9*B32-20736*G20*B29*H20*B28+41472*B7*H20*P16*B8+20736*G20*B29*H21*B28+16416*K16*B29*P9*B32+288*B9*B29*P9*B32+63936*K16*B29*H20*B28+10944*B9*B29*H20*B28-53568*K16*B29*H21*B28-7488*B9*B29*H21*B28+82944*B7*P9*P16*B8+20736*K16*B29*P9*B28+6912*B9*B29*P9*B28-10368*B29*H20*P9*B32+20736*B29*H20*H21*B28-41472*B29*H20*P9*B28+41472*B29*H21*P9*B28-342*B31*K16^2*B29^2*B32^2+36*B31^2*K16^2*B29^2*B32-576*B31*K16^2*B29^3*B32^2+54*B31^2*K16^2*B29^3*B32+216*B31*K16^2*B29^4*B32^2-36*B31^2*K16^2*B29^4*B32+10*B31*B9^2*B29^2*B32^2+100*B31^2*B9^2*B29^2*B32-40*B31*B9^2*B29^3*B32^2+150*B31^2*B9^2*B29^3*B32-120*B31*B9^2*B29^4*B32^2-100*B31^2*B9^2*B29^4*B32+1728*B31*K16^2*B29^2*B28^2-144*B31^2*K16^2*B29^2*B28-1728*B31*K16^2*B29^3*B28^2+144*B31^2*K16^2*B29^3*B28+432*B31*K16^2*B29^4*B28^2-36*B31^2*K16^2*B29^4*B28-960*B31*B9^2*B29^2*B28^2-400*B31^2*B9^2*B29^2*B28+960*B31*B9^2*B29^3*B28^2+400*B31^2*B9^2*B29^3*B28-240*B31*B9^2*B29^4*B28^2-100*B31^2*B9^2*B29^4*B28-82944*B7^2*B29*P16^2*B8^2-5184*G20^2*B29^2*B32^2*B28-16416*K16^2*B29^2*B32*B28^2-12996*K16^2*B29^2*B32^2*B28+13392*K16^2*B29^3*B32*B28^2+8208*K16^2*B29^3*B32^2*B28-2592*K16^2*B29^4*B32*B28^2-1296*K16^2*B29^4*B32^2*B28-96*B9^2*B29^2*B32*B28^2-4*B9^2*B29^2*B32^2*B28+624*B9^2*B29^3*B32*B28^2+48*B9^2*B29^3*B32^2*B28-288*B9^2*B29^4*B32*B28^2-144*B9^2*B29^4*B32^2*B28-20736*B29^2*H20^2*B32*B28^2-5184*B29^2*H20^2*B32^2*B28+31104*B29^3*H20^2*B32*B28^2+10368*B29^3*H20^2*B32^2*B28-10368*B29^4*H20^2*B32*B28^2-5184*B29^4*H20^2*B32^2*B28-20736*B29^3*H21^2*B32*B28^2+10368*B29^4*H21^2*B32*B28^2-5184*B29^4*H21^2*B32^2*B28+864*G20*B31*K16*B29^2-216*G20*B31*K16*B29^3-1440*G20*B31*B9*B29^2+360*G20*B31*B9*B29^3+2832*B31*K16*B9*B29^2-276*B31*K16*B9*B29^3-144*B31*K16*B9*B29^4+5184*B7*G20*B29^2*O15+648*B31*K16*B29^3*H20-216*B31*K16*B29^4*H20-1080*B31*B9*B29^3*H20+360*B31*B9*B29^4*H20+864*B31*K16*B29^2*H21-864*B31*K16*B29^3*H21+216*B31*K16*B29^4*H21-3024*B7*K16*B29^2*O15-1440*B31*B9*B29^2*H21-2592*B7*K16*B29^3*O15+1440*B31*B9*B29^3*H21-360*B31*B9*B29^4*H21+1584*B7*B9*B29^2*O15-864*B7*B9*B29^3*O15+1728*B31*K16*B29^2*P9-432*B31*K16*B29^3*P9-2880*B31*B9*B29^2*P9+720*B31*B9*B29^3*P9-10800*G20*K16*B29^2*B32-1008*G20*B9*B29^2*B32+1116*B31*K16^2*B29*B32-260*B31*B9^2*B29*B32-15552*B7*B29^2*H20*O15+5184*B7*B29^3*H20*O15+3396*K16*B9*B29^2*B32</f>
        <v>53565413.167880431</v>
      </c>
      <c r="W20" s="17">
        <f>-432*K16*B9*B29^4*B32+20736*B7*B29^2*H21*O15-5184*B7*B29^3*H21*O15-10368*G20*K16*B29^2*B28+2592*G20*K16*B29^3*B28-3456*G20*B9*B29^2*B28+864*G20*B9*B29^3*B28-4464*B31*K16^2*B29*B28+10368*B7*B29^2*P9*O15+1040*B31*B9^2*B29*B28+5184*G20*B29^2*H20*B32+9216*K16*B9*B29^2*B28+288*K16*B9*B29^3*B28-864*K16*B9*B29^4*B28+10368*G20*B29^2*H21*B32-5184*G20*B29^3*H21*B32-15984*K16*B29^2*H20*B32-2592*K16*B29^3*H20*B32+2592*K16*B29^4*H20*B32-2736*B9*B29^2*H20*B32-864*B9*B29^3*H20*B32+864*B9*B29^4*H20*B32-21600*K16*B29^2*H21*B32+10800*K16*B29^3*H21*B32+5184*G20*B29^2*P9*B32-2016*B9*B29^2*H21*B32+1008*B9*B29^3*H21*B32+20736*G20*B29^2*H20*B28-5184*G20*B29^3*H20*B28-20736*G20*B29^2*H21*B28+5184*G20*B29^3*H21*B28-13392*K16*B29^2*P9*B32+2592*K16*B29^3*P9*B32-1872*B9*B29^2*P9*B32+864*B9*B29^3*P9*B32-43200*K16*B29^2*H20*B28-4752*K16*B29^3*H20*B28+5184*K16*B29^4*H20*B28-4032*B9*B29^2*H20*B28-4176*B9*B29^3*H20*B28+1728*B9*B29^4*H20*B28+32832*K16*B29^2*H21*B28+7344*K16*B29^3*H21*B28-5184*K16*B29^4*H21*B28+576*B9*B29^2*H21*B28+5040*B9*B29^3*H21*B28-1728*B9*B29^4*H21*B28+82944*B7^2*O15*P16*B8+10368*B29^2*H20*H21*B32-5184*B29^3*H20*H21*B32-20736*K16*B29^2*P9*B28+5184*K16*B29^3*P9*B28-6912*B9*B29^2*P9*B28+1728*B9*B29^3*P9*B28+10368*G20^2*B29*B32*B28+15552*B29^2*H20*P9*B32-5184*B29^3*H20*P9*B32+10368*B29^2*H21*P9*B32-5184*B29^3*H21*P9*B32+42408*K16^2*B29*B32*B28+104*B9^2*B29*B32*B28+20736*B29^2*H20*H21*B28-36288*B29^3*H20*H21*B28+10368*B29^4*H20*H21*B28-16416*G20*K16*B29^2*B32^2*B28^2+5184*G20*K16*B29^3*B32^2*B28^2-288*G20*B9*B29^2*B32^2*B28^2+1728*G20*B9*B29^3*B32^2*B28^2-1872*B31*K16^2*B29^2*B32*B28^2+1368*B31*K16^2*B29^2*B32^2*B28-144*B31^2*K16^2*B29^2*B32*B28+3528*B31*K16^2*B29^3*B32*B28^2+2304*B31*K16^2*B29^3*B32^2*B28-216*B31^2*K16^2*B29^3*B32*B28-1296*B31*K16^2*B29^4*B32*B28^2-864*B31*K16^2*B29^4*B32^2*B28+144*B31^2*K16^2*B29^4*B32*B28-400*B31*B9^2*B29^2*B32*B28^2-40*B31*B9^2*B29^2*B32^2*B28-400*B31^2*B9^2*B29^2*B32*B28-1240*B31*B9^2*B29^3*B32*B28^2+160*B31*B9^2*B29^3*B32^2*B28-600*B31^2*B9^2*B29^3*B32*B28+720*B31*B9^2*B29^4*B32*B28^2+480*B31*B9^2*B29^4*B32^2*B28+400*B31^2*B9^2*B29^4*B32*B28+456*K16*B9*B29^2*B32^2*B28^2-2880*K16*B9*B29^3*B32^2*B28^2+864*K16*B9*B29^4*B32^2*B28^2+10368*G20*B29^2*H20*B32^2*B28^2-10368*G20*B29^3*H20*B32^2*B28^2-10368*G20*B29^3*H21*B32^2*B28^2-16416*K16*B29^2*H20*B32^2*B28^2+21600*K16*B29^3*H20*B32^2*B28^2-5184*K16*B29^4*H20*B32^2*B28^2-288*B9*B29^2*H20*B32^2*B28^2+2016*B9*B29^3*H20*B32^2*B28^2-1728*B9*B29^4*H20*B32^2*B28^2+16416*K16*B29^3*H21*B32^2*B28^2-5184*K16*B29^4*H21*B32^2*B28^2+288*B9*B29^3*H21*B32^2*B28^2-1728*B9*B29^4*H21*B32^2*B28^2-10368*B29^3*H20*H21*B32^2*B28^2+10368*B29^4*H20*H21*B32^2*B28^2+1728*B7*B31*K16*B29^2*O15-432*B7*B31*K16*B29^3*O15-2880*B7*B31*B9*B29^2*O15+720*B7*B31*B9*B29^3*O15-216*G20*B31*K16*B29^2*B32+216*G20*B31*K16*B29^3*B32+360*G20*B31*B9*B29^2*B32-360*G20*B31*B9*B29^3*B32-1716*B31*K16*B9*B29^2*B32+420*B31*K16*B9*B29^3*B32+432*B31*K16*B9*B29^4*B32-1728*G20*B31*K16*B29^2*B28+432*G20*B31*K16*B29^3*B28+2880*G20*B31*B9*B29^2*B28-720*G20*B31*B9*B29^3*B28-4512*B31*K16*B9*B29^2*B28-600*B31*K16*B9*B29^3*B28+576*B31*K16*B9*B29^4*B28+5184*B7*G20*B29^2*O15*B32-648*B31*K16*B29^2*H20*B32-864*B31*K16*B29^3*H20*B32+648*B31*K16*B29^4*H20*B32+1080*B31*B9*B29^2*H20*B32+1440*B31*B9*B29^3*H20*B32-1080*B31*B9*B29^4*H20*B32+432*B31*K16*B29^2*H21*B32+216*B31*K16*B29^3*H21*B32-216*B31*K16*B29^4*H21*B32+10368*B7*G20*B29^2*P16*B8-13392*B7*K16*B29^2*O15*B32-720*B31*B9*B29^2*H21*B32+2592*B7*K16*B29^3*O15*B32-360*B31*B9*B29^3*H21*B32+360*B31*B9*B29^4*H21*B32-1872*B7*B9*B29^2*O15*B32+864*B7*B9*B29^3*O15*B32+43200*B7*K16*B29^2*P16*B8-10368*B7*K16*B29^3*P16*B8-1296*B31*K16*B29^2*P9*B32+864*B31*K16*B29^3*P9*B32+19584*B7*B9*B29^2*P16*B8-3456*B7*B9*B29^3*P16*B8+2160*B31*B9*B29^2*P9*B32-1440*B31*B9*B29^3*P9*B32+1728*B31*K16*B29^2*H20*B28-3024*B31*K16*B29^3*H20*B28+864*B31*K16*B29^4*H20*B28-2880*B31*B9*B29^2*H20*B28+5040*B31*B9*B29^3*H20*B28-1440*B31*B9*B29^4*H20*B28-3456*B31*K16*B29^2*H21*B28+3456*B31*K16*B29^3*H21*B28-864*B31*K16*B29^4*H21*B28-20736*B7*K16*B29^2*O15*B28+5760*B31*B9*B29^2*H21*B28+5184*B7*K16*B29^3*O15*B28-5760*B31*B9*B29^3*H21*B28+1440*B31*B9*B29^4*H21*B28-6912*B7*B9*B29^2*O15*B28+1728*B7*B9*B29^3*O15*B28-3456*B31*K16*B29^2*P9*B28+864*B31*K16*B29^3*P9*B28+15552*B7*B29^2*H20*O15*B32-5184*B7*B29^3*H20*O15*B32+5760*B31*B9*B29^2*P9*B28-1440*B31*B9*B29^3*P9*B28+10368*B7*B29^2*H21*O15*B32-5184*B7*B29^3*H21*O15*B32-31104*B7*B29^2*H20*P16*B8+10368*B7*B29^3*H20*P16*B8+16416*G20*K16*B29^2*B32*B28+2592*G20*K16*B29^3*B32*B28+41472*B7*B29^2*H21*P16*B8+288*G20*B9*B29^2*B32*B28-10368*B7*B29^3*H21*P16*B8+864*G20*B9*B29^3*B32*B28-2232*B31*K16^2*B29*B32*B28+520*B31*B9^2*B29*B32*B28+41472*B7*B29^2*H20*O15*B28-10368*B7*B29^3*H20*O15*B28-3912*K16*B9*B29^2*B32*B28-3168*K16*B9*B29^3*B32*B28+1728*K16*B9*B29^4*B32*B28-41472*B7*B29^2*H21*O15*B28+20736*B7*B29^2*P9*P16*B8+10368*B7*B29^3*H21*O15*B28-82944*B7^2*B29*O15*P16*B8-5184*G20*B29^3*H20*B32*B28-31104*G20*B29^2*H21*B32*B28+15552*G20*B29^3*H21*B32*B28+10368*K16*B29^2*H20*B32*B28+26352*K16*B29^3*H20*B32*B28-10368*K16*B29^4*H20*B32*B28+3456*B9*B29^2*H20*B32*B28+6192*B9*B29^3*H20*B32*B28-3456*B9*B29^4*H20*B32*B28+59616*K16*B29^2*H21*B32*B28-29808*K16*B29^3*H21*B32*B28-10368*G20*B29^2*P9*B32*B28+4320*B9*B29^2*H21*B32*B28-2160*B9*B29^3*H21*B32*B28+26784*K16*B29^2*P9*B32*B28-5184*K16*B29^3*P9*B32*B28+3744*B9*B29^2*P9*B32*B28-1728*B9*B29^3*P9*B32*B28-31104*B29^2*H20*H21*B32*B28+15552*B29^3*H20*H21*B32*B28-31104*B29^2*H20*P9*B32*B28+10368*B29^3*H20*P9*B32*B28-20736*B29^2*H21*P9*B32*B28+10368*B29^3*H21*P9*B32*B28-1368*B31*K16^2*B29^2*B32^2*B28^2+144*B31^2*K16^2*B29^2*B32*B28^2-36*B31^2*K16^2*B29^2*B32^2*B28-2304*B31*K16^2*B29^3*B32^2*B28^2+216*B31^2*K16^2*B29^3*B32*B28^2-144*B31^2*K16^2*B29^3*B32^2*B28+864*B31*K16^2*B29^4*B32^2*B28^2-144*B31^2*K16^2*B29^4*B32*B28^2-144*B31^2*K16^2*B29^4*B32^2*B28+40*B31*B9^2*B29^2*B32^2*B28^2+400*B31^2*B9^2*B29^2*B32*B28^2-100*B31^2*B9^2*B29^2*B32^2*B28-160*B31*B9^2*B29^3*B32^2*B28^2+600*B31^2*B9^2*B29^3*B32*B28^2-400*B31^2*B9^2*B29^3*B32^2*B28-480*B31*B9^2*B29^4*B32^2*B28^2-400*B31^2*B9^2*B29^4*B32*B28^2-400*B31^2*B9^2*B29^4*B32^2*B28+216*G20*B31*K16*B29^2*B32^2+432*G20*B31*K16*B29^3*B32^2-360*G20*B31*B9*B29^2*B32^2-720*G20*B31*B9*B29^3*B32^2+564*B31*K16*B9*B29^2*B32^2-120*B31^2*K16*B9*B29^2*B32+984*B31*K16*B9*B29^3*B32^2-180*B31^2*K16*B9*B29^3*B32-288*B31*K16*B9*B29^4*B32^2+120*B31^2*K16*B9*B29^4*B32-2304*B31*K16*B9*B29^2*B28^2+480*B31^2*K16*B9*B29^2*B28+2304*B31*K16*B9*B29^3*B28^2-480*B31^2*K16*B9*B29^3*B28-576*B31*K16*B9*B29^4*B28^2+120*B31^2*K16*B9*B29^4*B28+216*B31*K16*B29^2*H20*B32^2+216*B31*K16*B29^3*H20*B32^2-432*B31*K16*B29^4*H20*B32^2-360*B31*B9*B29^2*H20*B32^2-360*B31*B9*B29^3*H20*B32^2+720*B31*B9*B29^4*H20*B32^2-216*B31*K16*B29^3*H21*B32^2-432*B31*K16*B29^4*H21*B32^2+360*B31*B9*B29^3*H21*B32^2+720*B31*B9*B29^4*H21*B32^2-3456*B31*K16*B29^2*H20*B28^2+3456*B31*K16*B29^3*H20*B28^2-864*B31*K16*B29^4*H20*B28^2+5760*B31*B9*B29^2*H20*B28^2-5760*B31*B9*B29^3*H20*B28^2+1440*B31*B9*B29^4*H20*B28^2+3456*B31*K16*B29^2*H21*B28^2-3456*B31*K16*B29^3*H21*B28^2+864*B31*K16*B29^4*H21*B28^2-5760*B31*B9*B29^2*H21*B28^2+5760*B31*B9*B29^3*H21*B28^2-1440*B31*B9*B29^4*H21*B28^2+10368*G20*K16*B29^2*B32*B28^2+16416*G20*K16*B29^2*B32^2*B28-5184*G20*K16*B29^3*B32*B28^2-5184*G20*K16*B29^3*B32^2*B28+3456*G20*B9*B29^2*B32*B28^2+288*G20*B9*B29^2*B32^2*B28-1728*G20*B9*B29^3*B32*B28^2-1728*G20*B9*B29^3*B32^2*B28-1476*B31*K16^2*B29^2*B32*B28-1296*B31*K16^2*B29^3*B32*B28+1296*B31*K16^2*B29^4*B32*B28+1180*B31*B9^2*B29^2*B32*B28+720*B31*B9^2*B29^3*B32*B28-720*B31*B9^2*B29^4*B32*B28-5760*K16*B9*B29^2*B32*B28^2-456*K16*B9*B29^2*B32^2*B28+6336*K16*B9*B29^3*B32*B28^2+2880*K16*B9*B29^3*B32^2*B28-1728*K16*B9*B29^4*B32*B28^2-864*K16*B9*B29^4*B32^2*B28+20736*B7^2*B29^2*O15*P16*B8-20736*G20*B29^2*H20*B32*B28^2-10368*G20*B29^2*H20*B32^2*B28+10368*G20*B29^3*H20*B32*B28^2+10368*G20*B29^3*H20*B32^2*B28+20736*G20*B29^2*H21*B32*B28^2-10368*G20*B29^3*H21*B32*B28^2+10368*G20*B29^3*H21*B32^2*B28+43200*K16*B29^2*H20*B32*B28^2+16416*K16*B29^2*H20*B32^2*B28-42336*K16*B29^3*H20*B32*B28^2</f>
        <v>55431267.789163761</v>
      </c>
      <c r="X20" s="10">
        <f>-21600*K16*B29^3*H20*B32^2*B28+10368*K16*B29^4*H20*B32*B28^2+5184*K16*B29^4*H20*B32^2*B28+4032*B9*B29^2*H20*B32*B28^2+288*B9*B29^2*H20*B32^2*B28-8928*B9*B29^3*H20*B32*B28^2-2016*B9*B29^3*H20*B32^2*B28+3456*B9*B29^4*H20*B32*B28^2+1728*B9*B29^4*H20*B32^2*B28-32832*K16*B29^2*H21*B32*B28^2+16416*K16*B29^3*H21*B32*B28^2-16416*K16*B29^3*H21*B32^2*B28+5184*K16*B29^4*H21*B32^2*B28-576*B9*B29^2*H21*B32*B28^2+288*B9*B29^3*H21*B32*B28^2-288*B9*B29^3*H21*B32^2*B28+1728*B9*B29^4*H21*B32^2*B28+20736*B29^2*H20*H21*B32*B28^2-10368*B29^3*H20*H21*B32*B28^2+10368*B29^3*H20*H21*B32^2*B28-10368*B29^4*H20*H21*B32^2*B28+36*B31^2*K16^2*B29^2*B32^2*B28^2+144*B31^2*K16^2*B29^3*B32^2*B28^2+144*B31^2*K16^2*B29^4*B32^2*B28^2+100*B31^2*B9^2*B29^2*B32^2*B28^2+400*B31^2*B9^2*B29^3*B32^2*B28^2+400*B31^2*B9^2*B29^4*B32^2*B28^2-1728*B7*B31*K16*B29*O15+2880*B7*B31*B9*B29*O15-432*G20*B31*K16*B29*B32+720*G20*B31*B9*B29*B32-1704*B31*K16*B9*B29*B32+1728*G20*B31*K16*B29*B28-2880*G20*B31*B9*B29*B28+6816*B31*K16*B9*B29*B28-10368*B7*G20*B29*O15*B32-432*B31*K16*B29*H20*B32+720*B31*B9*B29*H20*B32-41472*B7*G20*B29*P16*B8+16416*B7*K16*B29*O15*B32+288*B7*B9*B29*O15*B32-48384*B7*K16*B29*P16*B8-864*B31*K16*B29*P9*B32-36864*B7*B9*B29*P16*B8+1440*B31*B9*B29*P9*B32+1728*B31*K16*B29*H20*B28-2880*B31*B9*B29*H20*B28+20736*B7*K16*B29*O15*B28+6912*B7*B9*B29*O15*B28+3456*B31*K16*B29*P9*B28-10368*B7*B29*H20*O15*B32-5760*B31*B9*B29*P9*B28-43200*G20*K16*B29*B32*B28-41472*B7*B29*H21*P16*B8-4032*G20*B9*B29*B32*B28-41472*B7*B29*H20*O15*B28+6672*K16*B9*B29*B32*B28+41472*B7*B29*H21*O15*B28-82944*B7*B29*P9*P16*B8+20736*G20*B29*H20*B32*B28-43200*K16*B29*H20*B32*B28-4032*B9*B29*H20*B32*B28+20736*G20*B29*P9*B32*B28-30*B31^2*K16*B9*B29^2*B32^2-120*B31^2*K16*B9*B29^3*B32^2-120*B31^2*K16*B9*B29^4*B32^2-32832*K16*B29*P9*B32*B28-576*B9*B29*P9*B32*B28-480*B31^2*K16*B9*B29^2*B28^2+480*B31^2*K16*B9*B29^3*B28^2-120*B31^2*K16*B9*B29^4*B28^2+20736*B29*H20*P9*B32*B28-864*B7*B31*K16*B29*O15*B32+1440*B7*B31*B9*B29*O15*B32+6912*B7*B31*K16*B29*P16*B8+9216*B7*B31*B9*B29*P16*B8+3456*B7*B31*K16*B29*O15*B28-5760*B7*B31*B9*B29*O15*B28+864*G20*B31*K16*B29*B32*B28-1440*G20*B31*B9*B29*B32*B28+3408*B31*K16*B9*B29*B32*B28-20736*B7*G20*B29*P16*B32*B8+38016*B7*K16*B29*P16*B32*B8+20736*B7*G20*B29*O15*B32*B28+2304*B7*B9*B29*P16*B32*B8+864*B31*K16*B29*H20*B32*B28-1440*B31*B9*B29*H20*B32*B28-32832*B7*K16*B29*O15*B32*B28-576*B7*B9*B29*O15*B32*B28+82944*B7*K16*B29*P16*B8*B28+1728*B31*K16*B29*P9*B32*B28+27648*B7*B9*B29*P16*B8*B28-2880*B31*B9*B29*P9*B32*B28-20736*B7*B29*H20*P16*B32*B8+20736*B7*B29*H20*O15*B32*B28-82944*B7*B29*H20*P16*B8*B28+82944*B7*B29*H21*P16*B8*B28+864*G20*B31*K16*B29^2*B32^2*B28^2+1728*G20*B31*K16*B29^3*B32^2*B28^2-1440*G20*B31*B9*B29^2*B32^2*B28^2-2880*G20*B31*B9*B29^3*B32^2*B28^2+2256*B31*K16*B9*B29^2*B32^2*B28^2-480*B31^2*K16*B9*B29^2*B32*B28^2+120*B31^2*K16*B9*B29^2*B32^2*B28+3936*B31*K16*B9*B29^3*B32^2*B28^2-720*B31^2*K16*B9*B29^3*B32*B28^2+480*B31^2*K16*B9*B29^3*B32^2*B28-1152*B31*K16*B9*B29^4*B32^2*B28^2+480*B31^2*K16*B9*B29^4*B32*B28^2+480*B31^2*K16*B9*B29^4*B32^2*B28+864*B31*K16*B29^2*H20*B32^2*B28^2+864*B31*K16*B29^3*H20*B32^2*B28^2-1728*B31*K16*B29^4*H20*B32^2*B28^2-1440*B31*B9*B29^2*H20*B32^2*B28^2-1440*B31*B9*B29^3*H20*B32^2*B28^2+2880*B31*B9*B29^4*H20*B32^2*B28^2-864*B31*K16*B29^3*H21*B32^2*B28^2-1728*B31*K16*B29^4*H21*B32^2*B28^2+1440*B31*B9*B29^3*H21*B32^2*B28^2+2880*B31*B9*B29^4*H21*B32^2*B28^2-1296*B7*B31*K16*B29^2*O15*B32+864*B7*B31*K16*B29^3*O15*B32+2160*B7*B31*B9*B29^2*O15*B32-1440*B7*B31*B9*B29^3*O15*B32-6912*B7*B31*K16*B29^2*P16*B8+1728*B7*B31*K16*B29^3*P16*B8-9216*B7*B31*B9*B29^2*P16*B8+2304*B7*B31*B9*B29^3*P16*B8-3456*B7*B31*K16*B29^2*O15*B28+864*B7*B31*K16*B29^3*O15*B28+5760*B7*B31*B9*B29^2*O15*B28-1440*B7*B31*B9*B29^3*O15*B28-432*G20*B31*K16*B29^2*B32*B28+720*G20*B31*B9*B29^2*B32*B28+1752*B31*K16*B9*B29^2*B32*B28+1728*B31*K16*B9*B29^3*B32*B28-1728*B31*K16*B9*B29^4*B32*B28+10368*B7*G20*B29^2*P16*B32*B8-39744*B7*K16*B29^2*P16*B32*B8+10368*B7*K16*B29^3*P16*B32*B8-10368*B7*G20*B29^2*O15*B32*B28-8064*B7*B9*B29^2*P16*B32*B8+3456*B7*B9*B29^3*P16*B32*B8+1296*B31*K16*B29^2*H20*B32*B28+4320*B31*K16*B29^3*H20*B32*B28-2592*B31*K16*B29^4*H20*B32*B28-2160*B31*B9*B29^2*H20*B32*B28-7200*B31*B9*B29^3*H20*B32*B28+4320*B31*B9*B29^4*H20*B32*B28-1728*B31*K16*B29^2*H21*B32*B28-864*B31*K16*B29^3*H21*B32*B28+864*B31*K16*B29^4*H21*B32*B28+26784*B7*K16*B29^2*O15*B32*B28+2880*B31*B9*B29^2*H21*B32*B28-5184*B7*K16*B29^3*O15*B32*B28+1440*B31*B9*B29^3*H21*B32*B28-1440*B31*B9*B29^4*H21*B32*B28+3744*B7*B9*B29^2*O15*B32*B28-1728*B7*B9*B29^3*O15*B32*B28-82944*B7*K16*B29^2*P16*B8*B28+20736*B7*K16*B29^3*P16*B8*B28+2592*B31*K16*B29^2*P9*B32*B28-1728*B31*K16*B29^3*P9*B32*B28-27648*B7*B9*B29^2*P16*B8*B28+6912*B7*B9*B29^3*P16*B8*B28-4320*B31*B9*B29^2*P9*B32*B28+2880*B31*B9*B29^3*P9*B32*B28+31104*B7*B29^2*H20*P16*B32*B8-10368*B7*B29^3*H20*P16*B32*B8+20736*B7*B29^2*H21*P16*B32*B8-10368*B7*B29^3*H21*P16*B32*B8-31104*B7*B29^2*H20*O15*B32*B28+10368*B7*B29^3*H20*O15*B32*B28-20736*B7*B29^2*H21*O15*B32*B28+10368*B7*B29^3*H21*O15*B32*B28+82944*B7*B29^2*H20*P16*B8*B28-20736*B7*B29^3*H20*P16*B8*B28-82944*B7*B29^2*H21*P16*B8*B28+20736*B7*B29^3*H21*P16*B8*B28-120*B31^2*K16*B9*B29^2*B32^2*B28^2-480*B31^2*K16*B9*B29^3*B32^2*B28^2-480*B31^2*K16*B9*B29^4*B32^2*B28^2+1728*G20*B31*K16*B29^2*B32*B28^2-864*G20*B31*K16*B29^2*B32^2*B28-864*G20*B31*K16*B29^3*B32*B28^2-1728*G20*B31*K16*B29^3*B32^2*B28-2880*G20*B31*B9*B29^2*B32*B28^2+1440*G20*B31*B9*B29^2*B32^2*B28+1440*G20*B31*B9*B29^3*B32*B28^2+2880*G20*B31*B9*B29^3*B32^2*B28+3360*B31*K16*B9*B29^2*B32*B28^2-2256*B31*K16*B9*B29^2*B32^2*B28+480*B31^2*K16*B9*B29^2*B32*B28-5136*B31*K16*B9*B29^3*B32*B28^2-3936*B31*K16*B9*B29^3*B32^2*B28+720*B31^2*K16*B9*B29^3*B32*B28+1728*B31*K16*B9*B29^4*B32*B28^2+1152*B31*K16*B9*B29^4*B32^2*B28-480*B31^2*K16*B9*B29^4*B32*B28-864*B31*K16*B29^2*H20*B32^2*B28-5184*B31*K16*B29^3*H20*B32*B28^2-864*B31*K16*B29^3*H20*B32^2*B28+2592*B31*K16*B29^4*H20*B32*B28^2+1728*B31*K16*B29^4*H20*B32^2*B28+1440*B31*B9*B29^2*H20*B32^2*B28+8640*B31*B9*B29^3*H20*B32*B28^2+1440*B31*B9*B29^3*H20*B32^2*B28-4320*B31*B9*B29^4*H20*B32*B28^2-2880*B31*B9*B29^4*H20*B32^2*B28+1728*B31*K16*B29^2*H21*B32*B28^2+864*B31*K16*B29^3*H21*B32*B28^2+864*B31*K16*B29^3*H21*B32^2*B28-864*B31*K16*B29^4*H21*B32*B28^2+1728*B31*K16*B29^4*H21*B32^2*B28-2880*B31*B9*B29^2*H21*B32*B28^2-1440*B31*B9*B29^3*H21*B32*B28^2-1440*B31*B9*B29^3*H21*B32^2*B28+1440*B31*B9*B29^4*H21*B32*B28^2-2880*B31*B9*B29^4*H21*B32^2*B28+3456*B7*B31*K16*B29*P16*B32*B8+4608*B7*B31*B9*B29*P16*B32*B8+1728*B7*B31*K16*B29*O15*B32*B28-2880*B7*B31*B9*B29*O15*B32*B28-13824*B7*B31*K16*B29*P16*B8*B28-18432*B7*B31*B9*B29*P16*B8*B28+41472*B7*G20*B29*P16*B32*B8*B28-76032*B7*K16*B29*P16*B32*B8*B28-4608*B7*B9*B29*P16*B32*B8*B28+41472*B7*B29*H20*P16*B32*B8*B28+5184*B7*B31*K16*B29^2*P16*B32*B8-3456*B7*B31*K16*B29^3*P16*B32*B8+6912*B7*B31*B9*B29^2*P16*B32*B8-4608*B7*B31*B9*B29^3*P16*B32*B8+2592*B7*B31*K16*B29^2*O15*B32*B28-1728*B7*B31*K16*B29^3*O15*B32*B28-4320*B7*B31*B9*B29^2*O15*B32*B28+2880*B7*B31*B9*B29^3*O15*B32*B28+13824*B7*B31*K16*B29^2*P16*B8*B28-3456*B7*B31*K16*B29^3*P16*B8*B28+18432*B7*B31*B9*B29^2*P16*B8*B28-4608*B7*B31*B9*B29^3*P16*B8*B28-20736*B7*G20*B29^2*P16*B32*B8*B28+79488*B7*K16*B29^2*P16*B32*B8*B28-20736*B7*K16*B29^3*P16*B32*B8*B28+16128*B7*B9*B29^2*P16*B32*B8*B28-6912*B7*B9*B29^3*P16*B32*B8*B28-62208*B7*B29^2*H20*P16*B32*B8*B28+20736*B7*B29^3*H20*P16*B32*B8*B28-41472*B7*B29^2*H21*P16*B32*B8*B28+20736*B7*B29^3*H21*P16*B32*B8*B28-10368*B7*B31*K16*B29^2*P16*B32*B8*B28+6912*B7*B31*K16*B29^3*P16*B32*B8*B28-13824*B7*B31*B9*B29^2*P16*B32*B8*B28+9216*B7*B31*B9*B29^3*P16*B32*B8*B28-6912*B7*B31*K16*B29*P16*B32*B8*B28-9216*B7*B31*B9*B29*P16*B32*B8*B28</f>
        <v>-108789601.96240611</v>
      </c>
      <c r="Y20" s="17">
        <f>(V20+W20+X20)^(1/2)</f>
        <v>455.05933089880762</v>
      </c>
      <c r="AA20" s="12"/>
      <c r="AC20" s="12"/>
      <c r="AD20" s="12"/>
      <c r="AE20" s="12"/>
      <c r="AF20" s="12"/>
      <c r="AG20" s="12"/>
      <c r="AK20" s="12"/>
      <c r="AZ20" s="12"/>
      <c r="BA20" s="84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X20" s="88"/>
      <c r="BY20" s="90"/>
    </row>
    <row r="21" spans="1:77" ht="16.2" x14ac:dyDescent="0.35">
      <c r="A21" s="60" t="s">
        <v>116</v>
      </c>
      <c r="B21" s="61">
        <v>0.7</v>
      </c>
      <c r="C21" s="1"/>
      <c r="F21" s="5" t="s">
        <v>99</v>
      </c>
      <c r="G21" s="31">
        <f>(1-B20-$G$22)*G18/(2*(1-B20))</f>
        <v>32.172938766352416</v>
      </c>
      <c r="H21" s="30">
        <f>(1-B21-$H$22)*H18/(2*(1-B21))</f>
        <v>12.6853766061142</v>
      </c>
      <c r="M21" s="25"/>
      <c r="N21" s="26"/>
      <c r="O21" s="26" t="s">
        <v>1</v>
      </c>
      <c r="P21" s="27" t="s">
        <v>2</v>
      </c>
      <c r="Q21" s="17"/>
      <c r="R21" s="44" t="s">
        <v>53</v>
      </c>
      <c r="S21" s="17"/>
      <c r="T21" s="33">
        <f>2*P6+1.5*P7-P12-1/3*P9</f>
        <v>16.142482753131958</v>
      </c>
      <c r="U21" s="35"/>
      <c r="V21" s="10">
        <f>(0.5*G20-0.25*(1-B31)*(1/3*K7*(1-B8*P16/P15)-1/3*B9)-K7*(1+2*B8*P16/P15)+1/6*B9+0.5*(H21+O24))+(1-B29)/2*(H20-H21-O24+1/2*K8-K7-2*K8-1/2*B31*K9)+(1-B28)*B29*(H20-H21-O24+1/2*K8-K7-2*K8-1/2*B31*K9)</f>
        <v>25.07654411976625</v>
      </c>
      <c r="W21" s="10">
        <f>-P15+O15+((0.5*G20-0.25*(1-B31)*(1/3*K7*(1-B8*P16/P15)-1/3*B9)-K7*(1+2*B8*P16/P15)+1/6*B9+0.5*(H21+B32/(1-0.5*B29)*((1-B29)/2*H20-B29/2*H21+1/2*G20-K9*(1/4-1/4*B31-1/2*B29*B31)+1/6*B9-K7*(1+2*B8*P16/P15*(1+3/4*(1-B29))+(1-B29)/2))))+(1-B29)/2*(H20-H21-B32/(1-0.5*B29)*((1-B29)/2*H20-B29/2*H21+1/2*G20-K9*(1/4-1/4*B31-1/2*B29*B31)+1/6*B9-K7*(1+2*B8*P16/P15*(1+3/4*(1-B29))+(1-B29)/2))+1/2*K8-K7-2*K8-1/2*B31*K9)+(1-B28)*B29*(H20-H21-B32/(1-0.5*B29)*((1-B29)/2*H20-B29/2*H21+1/2*G20-K9*(1/4-1/4*B31-1/2*B29*B31)+1/6*B9-K7*(1+2*B8*P16/P15*(1+3/4*(1-B29))+(1-B29)/2))+1/2*K8-K7-2*K8-1/2*B31*K9)+P9-(K16+1/3*B9)/(2+4*B8*P16/P15)+(K16+1/3*B9)/(2+4*B8*P16/P15)*B8*P16/P15)/B7</f>
        <v>1.2005330063402653E-10</v>
      </c>
      <c r="X21" s="10">
        <f>-P15+O15+((0.5*G20-0.25*(1-B31)*(1/3* (K16+1/3*B9)/(2+4*B8*P16/P15)*(1-B8*P16/P15)-1/3*B9)- (K16+1/3*B9)/(2+4*B8*P16/P15)*(1+2*B8*P16/P15)+1/6*B9+0.5*(H21+B32/(1-0.5*B29)*((1-B29)/2*H20-B29/2*H21+1/2*G20-K9*(1/4-1/4*B31-1/2*B29*B31)+1/6*B9- (K16+1/3*B9)/(2+4*B8*P16/P15)*(1+2*B8*P16/P15*(1+3/4*(1-B29))+(1-B29)/2))))+(1-B29)/2*(H20-H21-B32/(1-0.5*B29)*((1-B29)/2*H20-B29/2*H21+1/2*G20-K9*(1/4-1/4*B31-1/2*B29*B31)+1/6*B9- (K16+1/3*B9)/(2+4*B8*P16/P15)*(1+2*B8*P16/P15*(1+3/4*(1-B29))+(1-B29)/2))+1/2*(K16+1/3*B9)/(2+4*B8*P16/P15)*2*B8*P16/P15- (K16+1/3*B9)/(2+4*B8*P16/P15)-2*(K16+1/3*B9)/(2+4*B8*P16/P15)*2*B8*P16/P15-1/2*B31*K9)+(1-B28)*B29*(H20-H21-B32/(1-0.5*B29)*((1-B29)/2*H20-B29/2*H21+1/2*G20-K9*(1/4-1/4*B31-1/2*B29*B31)+1/6*B9- (K16+1/3*B9)/(2+4*B8*P16/P15)*(1+2*B8*P16/P15*(1+3/4*(1-B29))+(1-B29)/2))+1/2*(K16+1/3*B9)/(2+4*B8*P16/P15)*2*B8*P16/P15- (K16+1/3*B9)/(2+4*B8*P16/P15)-2*(K16+1/3*B9)/(2+4*B8*P16/P15)*2*B8*P16/P15-1/2*B31*K9)+P9-(K16+1/3*B9)/(2+4*B8*P16/P15)+(K16+1/3*B9)/(2+4*B8*P16/P15)*B8*P16/P15)/B7</f>
        <v>1.2005330063402653E-10</v>
      </c>
      <c r="Y21" s="10">
        <f>-P15+O15+((0.5*G20-0.25*(1-B31)*(1/3* (K16+1/3*B9)/(2+4*B8*P16/P15)*(1-B8*P16/P15)-1/3*B9)- (K16+1/3*B9)/(2+4*B8*P16/P15)*(1+2*B8*P16/P15)+1/6*B9+0.5*(H21+B32/(1-0.5*B29)*((1-B29)/2*H20-B29/2*H21+1/2*G20-(1/3*(K16+1/3*B9)/(2+4*B8*P16/P15)-1/6*(K16+1/3*B9)/(2+4*B8*P16/P15)*2*B8*P16/P15-1/3*B9)*(1/4-1/4*B31-1/2*B29*B31)+1/6*B9- (K16+1/3*B9)/(2+4*B8*P16/P15)*(1+2*B8*P16/P15*(1+3/4*(1-B29))+(1-B29)/2))))+(1-B29)/2*(H20-H21-B32/(1-0.5*B29)*((1-B29)/2*H20-B29/2*H21+1/2*G20-(1/3*(K16+1/3*B9)/(2+4*B8*P16/P15)-1/6*(K16+1/3*B9)/(2+4*B8*P16/P15)*2*B8*P16/P15-1/3*B9)*(1/4-1/4*B31-1/2*B29*B31)+1/6*B9- (K16+1/3*B9)/(2+4*B8*P16/P15)*(1+2*B8*P16/P15*(1+3/4*(1-B29))+(1-B29)/2))+1/2*(K16+1/3*B9)/(2+4*B8*P16/P15)*2*B8*P16/P15- (K16+1/3*B9)/(2+4*B8*P16/P15)-2*(K16+1/3*B9)/(2+4*B8*P16/P15)*2*B8*P16/P15-1/2*B31*(1/3*(K16+1/3*B9)/(2+4*B8*P16/P15)-1/6*(K16+1/3*B9)/(2+4*B8*P16/P15)*2*B8*P16/P15-1/3*B9))+(1-B28)*B29*(H20-H21-B32/(1-0.5*B29)*((1-B29)/2*H20-B29/2*H21+1/2*G20-(1/3*(K16+1/3*B9)/(2+4*B8*P16/P15)-1/6*(K16+1/3*B9)/(2+4*B8*P16/P15)*2*B8*P16/P15-1/3*B9)*(1/4-1/4*B31-1/2*B29*B31)+1/6*B9- (K16+1/3*B9)/(2+4*B8*P16/P15)*(1+2*B8*P16/P15*(1+3/4*(1-B29))+(1-B29)/2))+1/2*(K16+1/3*B9)/(2+4*B8*P16/P15)*2*B8*P16/P15- (K16+1/3*B9)/(2+4*B8*P16/P15)-2*(K16+1/3*B9)/(2+4*B8*P16/P15)*2*B8*P16/P15-1/2*B31*(1/3*(K16+1/3*B9)/(2+4*B8*P16/P15)-1/6*(K16+1/3*B9)/(2+4*B8*P16/P15)*2*B8*P16/P15-1/3*B9))+P9-(K16+1/3*B9)/(2+4*B8*P16/P15)+(K16+1/3*B9)/(2+4*B8*P16/P15)*B8*P16/P15)/B7</f>
        <v>1.2005330063402653E-10</v>
      </c>
      <c r="Z21" s="12"/>
      <c r="AA21" s="12"/>
      <c r="AC21" s="12"/>
      <c r="AD21" s="12"/>
      <c r="AE21" s="12"/>
      <c r="AF21" s="12"/>
      <c r="AG21" s="12"/>
      <c r="AJ21" s="12"/>
      <c r="AK21" s="12"/>
      <c r="BA21" s="84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X21" s="88"/>
      <c r="BY21" s="90"/>
    </row>
    <row r="22" spans="1:77" ht="16.2" x14ac:dyDescent="0.35">
      <c r="A22" s="60" t="s">
        <v>109</v>
      </c>
      <c r="B22" s="61">
        <v>2.1006055962079641E-2</v>
      </c>
      <c r="F22" s="57" t="s">
        <v>86</v>
      </c>
      <c r="G22" s="62">
        <f>0.0000004*B6+B13</f>
        <v>9.3999999999999986E-2</v>
      </c>
      <c r="H22" s="63">
        <f>0.0000004*B6+B14</f>
        <v>9.3999999999999986E-2</v>
      </c>
      <c r="M22" s="45" t="s">
        <v>73</v>
      </c>
      <c r="N22" s="17"/>
      <c r="O22" s="31">
        <f>G21</f>
        <v>32.172938766352416</v>
      </c>
      <c r="P22" s="30">
        <f>K26-K27</f>
        <v>0.31889197195387808</v>
      </c>
      <c r="Q22" s="17"/>
      <c r="R22" s="25" t="s">
        <v>55</v>
      </c>
      <c r="S22" s="17"/>
      <c r="T22" s="30">
        <f>O24</f>
        <v>16.163789346553799</v>
      </c>
      <c r="U22" s="17"/>
      <c r="V22" s="10">
        <f>(72*G20-186*K16-26*B9+72*H20+144*P9+18*K16*B29^2+6*B9*B29^2-36*B29^2*H20+36*B29^2*H21+Y20-36*G20*B29+57*K16*B29+B9*B29+144*B7*O15+36*B29*H20-72*B29*H21-72*B29*P9-6*B31*K16*B29+10*B31*B9*B29-72*B7*B29*O15-36*G20*B29*B32+57*K16*B29*B32+B9*B29*B32-288*B7*P16*B8+72*K16*B29*B28+24*B9*B29*B28-36*B29*H20*B32-144*B29*H20*B28+144*B29*H21*B28+3*B31*K16*B29^2-5*B31*B9*B29^2-18*K16*B29^2*B32-6*B9*B29^2*B32-36*K16*B29^2*B28-12*B9*B29^2*B28+36*B29^2*H20*B32+36*B29^2*H21*B32+72*B29^2*H20*B28-72*B29^2*H21*B28-72*B29^2*H20*B32*B28-72*B29^2*H21*B32*B28-3*B31*K16*B29*B32+5*B31*B9*B29*B32+12*B31*K16*B29*B28-20*B31*B9*B29*B28+144*B7*B29*P16*B8+72*G20*B29*B32*B28-114*K16*B29*B32*B28-2*B9*B29*B32*B28+72*B29*H20*B32*B28-6*B31*K16*B29^2*B32+10*B31*B9*B29^2*B32-6*B31*K16*B29^2*B28+10*B31*B9*B29^2*B28+36*K16*B29^2*B32*B28+12*B9*B29^2*B32*B28+12*B31*K16*B29^2*B32*B28-20*B31*B9*B29^2*B32*B28+6*B31*K16*B29*B32*B28-10*B31*B9*B29*B32*B28)/(144*(2*B7-B7*B29))</f>
        <v>2386.7798496038176</v>
      </c>
      <c r="W22" s="17"/>
      <c r="X22" s="17"/>
      <c r="Y22" s="12"/>
      <c r="AA22" s="12"/>
      <c r="AC22" s="12"/>
      <c r="AD22" s="12"/>
      <c r="AE22" s="12"/>
      <c r="AF22" s="12"/>
      <c r="AG22" s="12"/>
      <c r="AK22" s="12"/>
      <c r="AZ22" s="12"/>
      <c r="BA22" s="84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X22" s="88"/>
      <c r="BY22" s="90"/>
    </row>
    <row r="23" spans="1:77" ht="16.2" x14ac:dyDescent="0.35">
      <c r="A23" s="60" t="s">
        <v>117</v>
      </c>
      <c r="B23" s="61">
        <v>0</v>
      </c>
      <c r="C23" s="10" t="s">
        <v>7</v>
      </c>
      <c r="M23" s="25" t="s">
        <v>56</v>
      </c>
      <c r="N23" s="17"/>
      <c r="O23" s="46">
        <f>O12+0.5*O7-0.5*(O8-O7)</f>
        <v>16.009149419798625</v>
      </c>
      <c r="P23" s="36">
        <f>P12-0.5*(P8-P7)+0.5*P7</f>
        <v>28.849165952667999</v>
      </c>
      <c r="Q23" s="35"/>
      <c r="R23" s="25" t="s">
        <v>57</v>
      </c>
      <c r="S23" s="17"/>
      <c r="T23" s="33">
        <f>K27*(1-B28)+P11</f>
        <v>11.097253492137078</v>
      </c>
      <c r="U23" s="17"/>
      <c r="V23" s="80" t="s">
        <v>5</v>
      </c>
      <c r="W23" s="31">
        <f>B11*B12</f>
        <v>0.27999999999999997</v>
      </c>
      <c r="X23" s="17"/>
      <c r="Y23" s="12"/>
      <c r="Z23" s="12"/>
      <c r="AA23" s="12"/>
      <c r="AC23" s="12"/>
      <c r="AD23" s="12"/>
      <c r="AE23" s="12"/>
      <c r="AF23" s="12"/>
      <c r="AG23" s="12"/>
      <c r="AJ23" s="12"/>
      <c r="AK23" s="12"/>
      <c r="BA23" s="84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X23" s="88"/>
      <c r="BY23" s="90"/>
    </row>
    <row r="24" spans="1:77" ht="14.25" customHeight="1" x14ac:dyDescent="0.35">
      <c r="A24" s="60" t="s">
        <v>110</v>
      </c>
      <c r="B24" s="61">
        <v>0.87</v>
      </c>
      <c r="C24" s="10" t="s">
        <v>7</v>
      </c>
      <c r="H24" s="64"/>
      <c r="M24" s="21" t="s">
        <v>58</v>
      </c>
      <c r="N24" s="37"/>
      <c r="O24" s="46">
        <f>B32/(1-0.5*B29)*((1-B29)/2*(H20-H21+1/2*K8-K7-2*K8-1/2*B31*K9)+(0.5*G20-0.25*(1-B31)*(1/3*K7*(1-B8*P16/P15)-1/3*B9)-K7*(1+2*B8*P16/P15)+1/6*B9+0.5*(H21)))</f>
        <v>16.163789346553799</v>
      </c>
      <c r="P24" s="36">
        <f>O25-K27</f>
        <v>-15.84489737459992</v>
      </c>
      <c r="Q24" s="35"/>
      <c r="R24" s="25" t="s">
        <v>59</v>
      </c>
      <c r="S24" s="17"/>
      <c r="T24" s="33">
        <f>O25</f>
        <v>8.9127547732124555</v>
      </c>
      <c r="U24" s="17"/>
      <c r="V24" s="17" t="s">
        <v>119</v>
      </c>
      <c r="W24" s="81">
        <f>O15+T19/B7</f>
        <v>3662.4709623860736</v>
      </c>
      <c r="X24" s="34">
        <f>ABS(W24-P15)</f>
        <v>1275.6911127822559</v>
      </c>
      <c r="Y24" s="17"/>
      <c r="AA24" s="12"/>
      <c r="AC24" s="12"/>
      <c r="AD24" s="12"/>
      <c r="AF24" s="12"/>
      <c r="AG24" s="12"/>
      <c r="AK24" s="12"/>
      <c r="AZ24" s="12"/>
      <c r="BA24" s="84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X24" s="88"/>
      <c r="BY24" s="90"/>
    </row>
    <row r="25" spans="1:77" ht="16.2" x14ac:dyDescent="0.35">
      <c r="A25" s="60" t="s">
        <v>111</v>
      </c>
      <c r="B25" s="61">
        <v>1.4E-3</v>
      </c>
      <c r="D25" s="1"/>
      <c r="H25" s="1"/>
      <c r="J25" s="14" t="s">
        <v>40</v>
      </c>
      <c r="K25" s="15"/>
      <c r="M25" s="41" t="s">
        <v>61</v>
      </c>
      <c r="N25" s="17"/>
      <c r="O25" s="37">
        <f>K26-O24</f>
        <v>8.9127547732124555</v>
      </c>
      <c r="P25" s="30">
        <f>O25</f>
        <v>8.9127547732124555</v>
      </c>
      <c r="Q25" s="35"/>
      <c r="R25" s="25" t="s">
        <v>128</v>
      </c>
      <c r="S25" s="17"/>
      <c r="T25" s="30">
        <f>T23+T21-T20</f>
        <v>14.552726438168268</v>
      </c>
      <c r="U25" s="17"/>
      <c r="V25" s="17"/>
      <c r="W25" s="17"/>
      <c r="X25" s="17"/>
      <c r="Y25" s="17"/>
      <c r="Z25" s="12"/>
      <c r="AA25" s="12"/>
      <c r="AC25" s="12"/>
      <c r="AD25" s="12"/>
      <c r="AF25" s="12"/>
      <c r="AG25" s="12"/>
      <c r="AJ25" s="12"/>
      <c r="AK25" s="12"/>
      <c r="BA25" s="84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X25" s="88"/>
      <c r="BY25" s="90"/>
    </row>
    <row r="26" spans="1:77" ht="16.2" x14ac:dyDescent="0.35">
      <c r="A26" s="60" t="s">
        <v>118</v>
      </c>
      <c r="B26" s="61">
        <v>0</v>
      </c>
      <c r="D26" s="1"/>
      <c r="H26" s="1"/>
      <c r="J26" s="25" t="s">
        <v>44</v>
      </c>
      <c r="K26" s="6">
        <f>O11+K27*(1-B28)+P11</f>
        <v>25.076544119766254</v>
      </c>
      <c r="M26" s="21" t="s">
        <v>63</v>
      </c>
      <c r="N26" s="37"/>
      <c r="O26" s="46" t="s">
        <v>54</v>
      </c>
      <c r="P26" s="36">
        <f>O24+P24</f>
        <v>0.31889197195387808</v>
      </c>
      <c r="Q26" s="34"/>
      <c r="R26" s="25" t="s">
        <v>65</v>
      </c>
      <c r="S26" s="17"/>
      <c r="T26" s="30">
        <f>T24+X31</f>
        <v>8.9127547732124555</v>
      </c>
      <c r="U26" s="17"/>
      <c r="V26" s="17" t="s">
        <v>122</v>
      </c>
      <c r="W26" s="17">
        <f>MIN(MAX(0,B10-0.1),0.5)</f>
        <v>0.5</v>
      </c>
      <c r="X26" s="17"/>
      <c r="AC26" s="12"/>
      <c r="AD26" s="12"/>
      <c r="AF26" s="12"/>
      <c r="AG26" s="12"/>
      <c r="AZ26" s="12"/>
      <c r="BA26" s="84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X26" s="88"/>
      <c r="BY26" s="90"/>
    </row>
    <row r="27" spans="1:77" ht="16.2" x14ac:dyDescent="0.35">
      <c r="A27" s="60" t="s">
        <v>112</v>
      </c>
      <c r="B27" s="61">
        <v>0.68</v>
      </c>
      <c r="C27" s="10" t="s">
        <v>6</v>
      </c>
      <c r="D27" s="1"/>
      <c r="H27" s="1"/>
      <c r="J27" s="21" t="s">
        <v>67</v>
      </c>
      <c r="K27" s="6">
        <f>B29*(H20-H21-O24+1/2*K8-K7-2*K8-1/2*B31*K9)</f>
        <v>24.757652147812376</v>
      </c>
      <c r="M27" s="25" t="s">
        <v>83</v>
      </c>
      <c r="N27" s="17"/>
      <c r="O27" s="37">
        <f>O24+O23</f>
        <v>32.172938766352424</v>
      </c>
      <c r="P27" s="33">
        <f>P23-P26+P24</f>
        <v>12.6853766061142</v>
      </c>
      <c r="Q27" s="34"/>
      <c r="R27" s="25" t="s">
        <v>68</v>
      </c>
      <c r="S27" s="17"/>
      <c r="T27" s="30">
        <f>P26-O25-X31-P11+B28*K27</f>
        <v>5.0665358544167205</v>
      </c>
      <c r="U27" s="17"/>
      <c r="V27" s="17" t="s">
        <v>82</v>
      </c>
      <c r="W27" s="31">
        <f>K10</f>
        <v>44.248430924673457</v>
      </c>
      <c r="X27" s="17"/>
      <c r="Y27" s="17"/>
      <c r="AC27" s="12"/>
      <c r="AD27" s="12"/>
      <c r="AF27" s="12"/>
      <c r="AG27" s="12"/>
      <c r="AJ27" s="12"/>
      <c r="AK27" s="12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X27" s="88"/>
      <c r="BY27" s="90"/>
    </row>
    <row r="28" spans="1:77" ht="16.2" x14ac:dyDescent="0.35">
      <c r="A28" s="5" t="s">
        <v>129</v>
      </c>
      <c r="B28" s="22">
        <v>0.64</v>
      </c>
      <c r="D28" s="1"/>
      <c r="F28" s="82"/>
      <c r="H28" s="1"/>
      <c r="J28" s="86" t="s">
        <v>125</v>
      </c>
      <c r="K28" s="87">
        <f>K27*B28</f>
        <v>15.84489737459992</v>
      </c>
      <c r="M28" s="39" t="s">
        <v>69</v>
      </c>
      <c r="N28" s="40"/>
      <c r="O28" s="65">
        <f>2*O11++O6+2*O7+O10/2+O12+0.5*(O8-O7)</f>
        <v>45.628800481405904</v>
      </c>
      <c r="P28" s="66">
        <f>P12+P6+2*P7+2*P11+K27+0.5*P10+0.5*(P8-P7)</f>
        <v>82.80926081203836</v>
      </c>
      <c r="R28" s="39" t="s">
        <v>70</v>
      </c>
      <c r="S28" s="40"/>
      <c r="T28" s="47">
        <f>ABS(T19)+ABS(T20)+ABS(T21)+ABS(T22)+ABS(T23)+ABS(T24)+ABS(X30)+ABS(X31)+ABS(T26)+ABS(T27)+ABS(T25)</f>
        <v>98.279013681512623</v>
      </c>
      <c r="U28" s="17"/>
      <c r="V28" s="31"/>
      <c r="W28" s="34"/>
      <c r="X28" s="17"/>
      <c r="Y28" s="17"/>
      <c r="Z28" s="12"/>
      <c r="AA28" s="12"/>
      <c r="AC28" s="12"/>
      <c r="AD28" s="12"/>
      <c r="AF28" s="12"/>
      <c r="AG28" s="12"/>
      <c r="AK28" s="20"/>
      <c r="AZ28" s="12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X28" s="88"/>
      <c r="BY28" s="90"/>
    </row>
    <row r="29" spans="1:77" ht="16.2" x14ac:dyDescent="0.35">
      <c r="A29" s="5" t="s">
        <v>123</v>
      </c>
      <c r="B29" s="22">
        <v>0.85</v>
      </c>
      <c r="Q29" s="34"/>
      <c r="U29" s="17"/>
      <c r="V29" s="17"/>
      <c r="W29" s="17"/>
      <c r="X29" s="17"/>
      <c r="Y29" s="17"/>
      <c r="AA29" s="20"/>
      <c r="AC29" s="12"/>
      <c r="AD29" s="12"/>
      <c r="AF29" s="12"/>
      <c r="AG29" s="12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X29" s="88"/>
      <c r="BY29" s="90"/>
    </row>
    <row r="30" spans="1:77" ht="16.2" x14ac:dyDescent="0.35">
      <c r="A30" s="55" t="s">
        <v>60</v>
      </c>
      <c r="B30" s="22">
        <v>0.5</v>
      </c>
      <c r="U30" s="17"/>
      <c r="V30" s="17" t="s">
        <v>62</v>
      </c>
      <c r="W30" s="17"/>
      <c r="X30" s="31">
        <f>O7-O8</f>
        <v>0</v>
      </c>
      <c r="Y30" s="17"/>
      <c r="AJ30" s="12"/>
      <c r="AK30" s="12"/>
      <c r="AZ30" s="12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X30" s="88"/>
      <c r="BY30" s="90"/>
    </row>
    <row r="31" spans="1:77" ht="16.2" x14ac:dyDescent="0.35">
      <c r="A31" s="55" t="s">
        <v>66</v>
      </c>
      <c r="B31" s="22">
        <v>0.5</v>
      </c>
      <c r="V31" s="17" t="s">
        <v>64</v>
      </c>
      <c r="W31" s="17"/>
      <c r="X31" s="31">
        <f>1/2*X30</f>
        <v>0</v>
      </c>
      <c r="Y31" s="17"/>
      <c r="Z31" s="12"/>
      <c r="AA31" s="12"/>
      <c r="AK31" s="5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X31" s="88"/>
      <c r="BY31" s="90"/>
    </row>
    <row r="32" spans="1:77" ht="16.2" x14ac:dyDescent="0.35">
      <c r="A32" s="71" t="s">
        <v>124</v>
      </c>
      <c r="B32" s="69">
        <v>1</v>
      </c>
      <c r="U32" s="17"/>
      <c r="V32" s="17"/>
      <c r="W32" s="17"/>
      <c r="X32" s="17"/>
      <c r="Y32" s="17"/>
      <c r="AA32" s="51"/>
      <c r="AC32" s="12"/>
      <c r="AD32" s="12"/>
      <c r="AE32" s="12"/>
      <c r="AF32" s="12"/>
      <c r="AG32" s="12"/>
      <c r="AJ32" s="12"/>
      <c r="AK32" s="12"/>
      <c r="AZ32" s="12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X32" s="88"/>
      <c r="BY32" s="90"/>
    </row>
    <row r="33" spans="5:77" x14ac:dyDescent="0.25">
      <c r="U33" s="17"/>
      <c r="V33" s="109" t="s">
        <v>133</v>
      </c>
      <c r="W33" s="110"/>
      <c r="X33" s="111"/>
      <c r="Y33" s="17"/>
      <c r="Z33" s="12"/>
      <c r="AA33" s="12"/>
      <c r="AC33" s="12"/>
      <c r="AD33" s="51"/>
      <c r="AE33" s="12"/>
      <c r="AF33" s="12"/>
      <c r="AG33" s="51"/>
      <c r="AK33" s="12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X33" s="88"/>
      <c r="BY33" s="90"/>
    </row>
    <row r="34" spans="5:77" x14ac:dyDescent="0.25">
      <c r="U34" s="17"/>
      <c r="V34" s="98"/>
      <c r="W34" s="16"/>
      <c r="X34" s="15" t="s">
        <v>17</v>
      </c>
      <c r="Y34" s="17"/>
      <c r="AA34" s="12"/>
      <c r="AC34" s="12"/>
      <c r="AD34" s="12"/>
      <c r="AE34" s="12"/>
      <c r="AF34" s="12"/>
      <c r="AG34" s="12"/>
      <c r="AJ34" s="12"/>
      <c r="AK34" s="12"/>
      <c r="AZ34" s="12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X34" s="88"/>
      <c r="BY34" s="91"/>
    </row>
    <row r="35" spans="5:77" x14ac:dyDescent="0.25"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U35" s="17"/>
      <c r="V35" s="25"/>
      <c r="W35" s="17"/>
      <c r="X35" s="95">
        <f>K6</f>
        <v>20.732837676187142</v>
      </c>
      <c r="Y35" s="17"/>
      <c r="Z35" s="12"/>
      <c r="AA35" s="12"/>
      <c r="AC35" s="12"/>
      <c r="AD35" s="12"/>
      <c r="AE35" s="12"/>
      <c r="AF35" s="12"/>
      <c r="AG35" s="12"/>
      <c r="AK35" s="12"/>
      <c r="BX35" s="88"/>
      <c r="BY35" s="89"/>
    </row>
    <row r="36" spans="5:77" x14ac:dyDescent="0.25"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U36" s="17"/>
      <c r="V36" s="25" t="s">
        <v>84</v>
      </c>
      <c r="W36" s="17">
        <v>10</v>
      </c>
      <c r="X36" s="94">
        <f t="dataTable" ref="X36:X37" dt2D="0" dtr="0" r1="B4"/>
        <v>0.4466426556977473</v>
      </c>
      <c r="Y36" s="17"/>
      <c r="AA36" s="12"/>
      <c r="AC36" s="12"/>
      <c r="AD36" s="12"/>
      <c r="AE36" s="12"/>
      <c r="AF36" s="12"/>
      <c r="AG36" s="12"/>
      <c r="AJ36" s="12"/>
      <c r="AK36" s="12"/>
      <c r="BX36" s="88"/>
      <c r="BY36" s="90"/>
    </row>
    <row r="37" spans="5:77" x14ac:dyDescent="0.25"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U37" s="17"/>
      <c r="V37" s="25"/>
      <c r="W37" s="17">
        <f>W36+1</f>
        <v>11</v>
      </c>
      <c r="X37" s="94">
        <v>0.48060469095611008</v>
      </c>
      <c r="Y37" s="17"/>
      <c r="Z37" s="12"/>
      <c r="AA37" s="12"/>
      <c r="AC37" s="12"/>
      <c r="AD37" s="12"/>
      <c r="AE37" s="12"/>
      <c r="AF37" s="12"/>
      <c r="AG37" s="12"/>
      <c r="AK37" s="12"/>
      <c r="BX37" s="88"/>
      <c r="BY37" s="90"/>
    </row>
    <row r="38" spans="5:77" x14ac:dyDescent="0.25"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92"/>
      <c r="P38" s="17"/>
      <c r="U38" s="17"/>
      <c r="V38" s="99" t="s">
        <v>131</v>
      </c>
      <c r="W38" s="40"/>
      <c r="X38" s="100">
        <f>(X37-X36)/(W37-W36)</f>
        <v>3.3962035258362777E-2</v>
      </c>
      <c r="Y38" s="17"/>
      <c r="AA38" s="12"/>
      <c r="AC38" s="12"/>
      <c r="AD38" s="12"/>
      <c r="AE38" s="12"/>
      <c r="AF38" s="12"/>
      <c r="AG38" s="12"/>
      <c r="AJ38" s="12"/>
      <c r="AK38" s="12"/>
      <c r="BX38" s="88"/>
      <c r="BY38" s="90"/>
    </row>
    <row r="39" spans="5:77" x14ac:dyDescent="0.25">
      <c r="E39" s="17"/>
      <c r="F39" s="17"/>
      <c r="G39" s="17"/>
      <c r="H39" s="17"/>
      <c r="I39" s="17"/>
      <c r="J39" s="48"/>
      <c r="K39" s="46"/>
      <c r="L39" s="17"/>
      <c r="M39" s="17"/>
      <c r="N39" s="17"/>
      <c r="O39" s="17"/>
      <c r="P39" s="17"/>
      <c r="U39" s="17"/>
      <c r="V39" s="25"/>
      <c r="W39" s="17"/>
      <c r="X39" s="94"/>
      <c r="Y39" s="17"/>
      <c r="Z39" s="12"/>
      <c r="AA39" s="12"/>
      <c r="AC39" s="12"/>
      <c r="AD39" s="12"/>
      <c r="AE39" s="12"/>
      <c r="AF39" s="12"/>
      <c r="AG39" s="12"/>
      <c r="AK39" s="12"/>
      <c r="BX39" s="88"/>
      <c r="BY39" s="90"/>
    </row>
    <row r="40" spans="5:77" x14ac:dyDescent="0.25">
      <c r="E40" s="17"/>
      <c r="F40" s="17"/>
      <c r="G40" s="17"/>
      <c r="H40" s="17"/>
      <c r="I40" s="17"/>
      <c r="J40" s="48"/>
      <c r="K40" s="46"/>
      <c r="L40" s="17"/>
      <c r="M40" s="17"/>
      <c r="N40" s="17"/>
      <c r="O40" s="17"/>
      <c r="P40" s="17"/>
      <c r="U40" s="17"/>
      <c r="V40" s="98"/>
      <c r="W40" s="16"/>
      <c r="X40" s="15" t="s">
        <v>17</v>
      </c>
      <c r="Y40" s="17"/>
      <c r="AA40" s="12"/>
      <c r="AC40" s="12"/>
      <c r="AD40" s="12"/>
      <c r="AE40" s="12"/>
      <c r="AF40" s="12"/>
      <c r="AG40" s="12"/>
      <c r="AJ40" s="12"/>
      <c r="AK40" s="12"/>
      <c r="BX40" s="88"/>
      <c r="BY40" s="90"/>
    </row>
    <row r="41" spans="5:77" x14ac:dyDescent="0.25"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93"/>
      <c r="P41" s="17"/>
      <c r="V41" s="25"/>
      <c r="W41" s="17"/>
      <c r="X41" s="95">
        <f>K6</f>
        <v>20.732837676187142</v>
      </c>
      <c r="Z41" s="12"/>
      <c r="AA41" s="12"/>
      <c r="AC41" s="12"/>
      <c r="AD41" s="12"/>
      <c r="AE41" s="12"/>
      <c r="AF41" s="12"/>
      <c r="AG41" s="12"/>
      <c r="AK41" s="12"/>
      <c r="BX41" s="88"/>
      <c r="BY41" s="90"/>
    </row>
    <row r="42" spans="5:77" x14ac:dyDescent="0.25"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U42" s="12"/>
      <c r="V42" s="25" t="s">
        <v>84</v>
      </c>
      <c r="W42" s="17">
        <v>10</v>
      </c>
      <c r="X42" s="94">
        <f t="dataTable" ref="X42:X43" dt2D="0" dtr="0" r1="B4" ca="1"/>
        <v>0.4466426556977473</v>
      </c>
      <c r="AA42" s="12"/>
      <c r="AC42" s="12"/>
      <c r="AD42" s="12"/>
      <c r="AE42" s="12"/>
      <c r="AF42" s="12"/>
      <c r="AG42" s="12"/>
      <c r="AJ42" s="12"/>
      <c r="AK42" s="12"/>
      <c r="BX42" s="88"/>
      <c r="BY42" s="90"/>
    </row>
    <row r="43" spans="5:77" x14ac:dyDescent="0.25"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U43" s="12"/>
      <c r="V43" s="25"/>
      <c r="W43" s="17">
        <f>W42+1</f>
        <v>11</v>
      </c>
      <c r="X43" s="94">
        <v>0.48060469095611008</v>
      </c>
      <c r="Z43" s="12"/>
      <c r="AA43" s="12"/>
      <c r="AC43" s="12"/>
      <c r="AD43" s="12"/>
      <c r="AE43" s="12"/>
      <c r="AF43" s="12"/>
      <c r="AG43" s="12"/>
      <c r="AK43" s="12"/>
      <c r="BX43" s="88"/>
      <c r="BY43" s="90"/>
    </row>
    <row r="44" spans="5:77" x14ac:dyDescent="0.25">
      <c r="E44" s="17"/>
      <c r="F44" s="17"/>
      <c r="G44" s="17"/>
      <c r="H44" s="17"/>
      <c r="I44" s="48"/>
      <c r="J44" s="48"/>
      <c r="K44" s="48"/>
      <c r="L44" s="48"/>
      <c r="M44" s="48"/>
      <c r="N44" s="17"/>
      <c r="O44" s="48"/>
      <c r="P44" s="48"/>
      <c r="Q44" s="12"/>
      <c r="U44" s="12"/>
      <c r="V44" s="25"/>
      <c r="W44" s="17"/>
      <c r="X44" s="96">
        <f>G17+H17</f>
        <v>1223.9999999999998</v>
      </c>
      <c r="Y44" s="12"/>
      <c r="AA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X44" s="88"/>
      <c r="BY44" s="90"/>
    </row>
    <row r="45" spans="5:77" x14ac:dyDescent="0.25">
      <c r="E45" s="17"/>
      <c r="F45" s="17"/>
      <c r="G45" s="17"/>
      <c r="H45" s="17"/>
      <c r="I45" s="48"/>
      <c r="J45" s="48"/>
      <c r="K45" s="48"/>
      <c r="L45" s="48"/>
      <c r="M45" s="17"/>
      <c r="N45" s="17"/>
      <c r="O45" s="48"/>
      <c r="P45" s="48"/>
      <c r="U45" s="12"/>
      <c r="V45" s="25" t="s">
        <v>84</v>
      </c>
      <c r="W45" s="17">
        <f>W42</f>
        <v>10</v>
      </c>
      <c r="X45" s="94">
        <f t="dataTable" ref="X45:X46" dt2D="0" dtr="0" r1="B4" ca="1"/>
        <v>6.8</v>
      </c>
      <c r="Y45" s="12"/>
      <c r="Z45" s="12"/>
      <c r="AA45" s="12"/>
      <c r="AC45" s="12"/>
      <c r="AD45" s="12"/>
      <c r="AE45" s="12"/>
      <c r="AF45" s="12"/>
      <c r="AG45" s="12"/>
      <c r="AH45" s="12"/>
      <c r="AI45" s="12"/>
      <c r="AK45" s="12"/>
      <c r="AL45" s="12"/>
      <c r="AM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X45" s="88"/>
      <c r="BY45" s="90"/>
    </row>
    <row r="46" spans="5:77" x14ac:dyDescent="0.25">
      <c r="E46" s="17"/>
      <c r="F46" s="17"/>
      <c r="G46" s="17"/>
      <c r="H46" s="17"/>
      <c r="I46" s="48"/>
      <c r="J46" s="48"/>
      <c r="K46" s="48"/>
      <c r="L46" s="48"/>
      <c r="M46" s="17"/>
      <c r="N46" s="17"/>
      <c r="O46" s="17"/>
      <c r="P46" s="48"/>
      <c r="Q46" s="12"/>
      <c r="U46" s="12"/>
      <c r="V46" s="25"/>
      <c r="W46" s="17">
        <f>W43</f>
        <v>11</v>
      </c>
      <c r="X46" s="94">
        <v>7.48</v>
      </c>
      <c r="Y46" s="12"/>
      <c r="AA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X46" s="88"/>
      <c r="BY46" s="90"/>
    </row>
    <row r="47" spans="5:77" x14ac:dyDescent="0.25">
      <c r="E47" s="17"/>
      <c r="F47" s="17"/>
      <c r="G47" s="17"/>
      <c r="H47" s="17"/>
      <c r="I47" s="48"/>
      <c r="J47" s="48"/>
      <c r="K47" s="48"/>
      <c r="L47" s="48"/>
      <c r="M47" s="48"/>
      <c r="N47" s="48"/>
      <c r="O47" s="48"/>
      <c r="P47" s="48"/>
      <c r="Q47" s="12"/>
      <c r="R47" s="12"/>
      <c r="S47" s="12"/>
      <c r="T47" s="12"/>
      <c r="U47" s="12"/>
      <c r="V47" s="28"/>
      <c r="W47" s="17"/>
      <c r="X47" s="97"/>
      <c r="Y47" s="12"/>
      <c r="Z47" s="12"/>
      <c r="AA47" s="12"/>
      <c r="AC47" s="12"/>
      <c r="AD47" s="12"/>
      <c r="AE47" s="12"/>
      <c r="AF47" s="12"/>
      <c r="AG47" s="12"/>
      <c r="AH47" s="12"/>
      <c r="AI47" s="12"/>
      <c r="AK47" s="12"/>
      <c r="AL47" s="12"/>
      <c r="AM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X47" s="88"/>
      <c r="BY47" s="90"/>
    </row>
    <row r="48" spans="5:77" x14ac:dyDescent="0.25"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99" t="s">
        <v>130</v>
      </c>
      <c r="W48" s="40"/>
      <c r="X48" s="100">
        <f>(X43-X42)/(X46-X45)</f>
        <v>4.9944169497592276E-2</v>
      </c>
      <c r="Y48" s="12"/>
      <c r="AA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X48" s="88"/>
      <c r="BY48" s="90"/>
    </row>
    <row r="49" spans="9:77" x14ac:dyDescent="0.25"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25"/>
      <c r="W49" s="17"/>
      <c r="X49" s="94"/>
      <c r="Y49" s="12"/>
      <c r="Z49" s="12"/>
      <c r="AA49" s="12"/>
      <c r="AC49" s="12"/>
      <c r="AD49" s="12"/>
      <c r="AF49" s="12"/>
      <c r="AG49" s="12"/>
      <c r="AH49" s="12"/>
      <c r="AI49" s="12"/>
      <c r="AJ49" s="12"/>
      <c r="AK49" s="12"/>
      <c r="AL49" s="12"/>
      <c r="AM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X49" s="88"/>
      <c r="BY49" s="90"/>
    </row>
    <row r="50" spans="9:77" x14ac:dyDescent="0.25"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28"/>
      <c r="W50" s="48"/>
      <c r="X50" s="97"/>
      <c r="Y50" s="12"/>
      <c r="Z50" s="12"/>
      <c r="AA50" s="12"/>
      <c r="AC50" s="12"/>
      <c r="AD50" s="12"/>
      <c r="AF50" s="12"/>
      <c r="AG50" s="12"/>
      <c r="AH50" s="12"/>
      <c r="AI50" s="12"/>
      <c r="AJ50" s="12"/>
      <c r="AK50" s="12"/>
      <c r="AL50" s="12"/>
      <c r="AM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X50" s="88"/>
      <c r="BY50" s="90"/>
    </row>
    <row r="51" spans="9:77" x14ac:dyDescent="0.25"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98"/>
      <c r="W51" s="16"/>
      <c r="X51" s="15" t="s">
        <v>11</v>
      </c>
      <c r="Y51" s="12"/>
      <c r="Z51" s="12"/>
      <c r="AA51" s="12"/>
      <c r="AC51" s="12"/>
      <c r="AD51" s="12"/>
      <c r="AF51" s="12"/>
      <c r="AG51" s="12"/>
      <c r="AH51" s="12"/>
      <c r="AI51" s="12"/>
      <c r="AJ51" s="12"/>
      <c r="AK51" s="12"/>
      <c r="AL51" s="12"/>
      <c r="AM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X51" s="88"/>
      <c r="BY51" s="90"/>
    </row>
    <row r="52" spans="9:77" x14ac:dyDescent="0.25"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25"/>
      <c r="W52" s="17"/>
      <c r="X52" s="95">
        <f>K5</f>
        <v>19.932837676187141</v>
      </c>
      <c r="Y52" s="12"/>
      <c r="Z52" s="12"/>
      <c r="AA52" s="12"/>
      <c r="AC52" s="12"/>
      <c r="AD52" s="12"/>
      <c r="AF52" s="12"/>
      <c r="AG52" s="12"/>
      <c r="AH52" s="12"/>
      <c r="AI52" s="12"/>
      <c r="AJ52" s="12"/>
      <c r="AK52" s="12"/>
      <c r="AL52" s="12"/>
      <c r="AM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X52" s="88"/>
      <c r="BY52" s="90"/>
    </row>
    <row r="53" spans="9:77" x14ac:dyDescent="0.25"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25" t="s">
        <v>8</v>
      </c>
      <c r="W53" s="17">
        <v>5.9089110756836236</v>
      </c>
      <c r="X53" s="94">
        <f t="dataTable" ref="X53:X54" dt2D="0" dtr="0" r1="B5" ca="1"/>
        <v>1.5367039292971636</v>
      </c>
      <c r="Y53" s="12"/>
      <c r="Z53" s="12"/>
      <c r="AA53" s="12"/>
      <c r="AC53" s="12"/>
      <c r="AD53" s="12"/>
      <c r="AF53" s="12"/>
      <c r="AG53" s="12"/>
      <c r="AH53" s="12"/>
      <c r="AI53" s="12"/>
      <c r="AJ53" s="12"/>
      <c r="AK53" s="12"/>
      <c r="AL53" s="12"/>
      <c r="AM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X53" s="88"/>
      <c r="BY53" s="90"/>
    </row>
    <row r="54" spans="9:77" x14ac:dyDescent="0.25"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25"/>
      <c r="W54" s="17">
        <f>W53+1</f>
        <v>6.9089110756836236</v>
      </c>
      <c r="X54" s="94">
        <v>1.9402067935454299</v>
      </c>
      <c r="Y54" s="12"/>
      <c r="Z54" s="12"/>
      <c r="AA54" s="12"/>
      <c r="AC54" s="12"/>
      <c r="AD54" s="12"/>
      <c r="AF54" s="12"/>
      <c r="AG54" s="12"/>
      <c r="AH54" s="12"/>
      <c r="AI54" s="12"/>
      <c r="AJ54" s="12"/>
      <c r="AK54" s="12"/>
      <c r="AL54" s="12"/>
      <c r="AM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X54" s="88"/>
      <c r="BY54" s="90"/>
    </row>
    <row r="55" spans="9:77" x14ac:dyDescent="0.25"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99" t="s">
        <v>132</v>
      </c>
      <c r="W55" s="40"/>
      <c r="X55" s="101">
        <f>(X54-X53)/(W54-W53)</f>
        <v>0.40350286424826631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X55" s="88"/>
      <c r="BY55" s="90"/>
    </row>
    <row r="56" spans="9:77" x14ac:dyDescent="0.25">
      <c r="I56" s="48"/>
      <c r="J56" s="48"/>
      <c r="K56" s="48"/>
      <c r="L56" s="48"/>
      <c r="M56" s="48"/>
      <c r="N56" s="12"/>
      <c r="O56" s="48"/>
      <c r="P56" s="48"/>
      <c r="Q56" s="48"/>
      <c r="R56" s="48"/>
      <c r="S56" s="48"/>
      <c r="T56" s="48"/>
      <c r="U56" s="48"/>
      <c r="V56" s="48"/>
      <c r="W56" s="12"/>
      <c r="X56" s="12"/>
      <c r="Y56" s="48"/>
      <c r="Z56" s="12"/>
      <c r="AA56" s="12"/>
      <c r="AB56" s="12"/>
      <c r="AC56" s="12"/>
      <c r="AD56" s="12"/>
      <c r="AE56" s="12"/>
      <c r="AF56" s="12"/>
      <c r="AG56" s="12"/>
      <c r="AH56" s="48"/>
      <c r="AI56" s="48"/>
      <c r="AJ56" s="48"/>
      <c r="AK56" s="48"/>
      <c r="AL56" s="48"/>
      <c r="AM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X56" s="88"/>
      <c r="BY56" s="90"/>
    </row>
    <row r="57" spans="9:77" x14ac:dyDescent="0.25">
      <c r="O57" s="12"/>
      <c r="P57" s="12"/>
      <c r="Q57" s="12"/>
      <c r="R57" s="12"/>
      <c r="T57" s="49"/>
      <c r="U57" s="49"/>
      <c r="V57" s="49"/>
      <c r="W57" s="50"/>
      <c r="X57" s="50"/>
      <c r="Y57" s="50"/>
      <c r="Z57" s="12"/>
      <c r="AA57" s="51"/>
      <c r="AB57" s="12"/>
      <c r="AC57" s="12"/>
      <c r="AD57" s="51"/>
      <c r="AE57" s="12"/>
      <c r="AF57" s="12"/>
      <c r="AG57" s="51"/>
      <c r="AH57" s="17"/>
      <c r="AI57" s="17"/>
      <c r="AJ57" s="17"/>
      <c r="AR57" s="20"/>
      <c r="AS57" s="20"/>
      <c r="AU57" s="20"/>
      <c r="AV57" s="20"/>
      <c r="AW57" s="20"/>
      <c r="AZ57" s="20"/>
      <c r="BA57" s="20"/>
      <c r="BB57" s="20"/>
      <c r="BC57" s="20"/>
      <c r="BD57" s="17"/>
      <c r="BE57" s="20"/>
      <c r="BF57" s="20"/>
      <c r="BG57" s="20"/>
      <c r="BH57" s="20"/>
      <c r="BI57" s="20"/>
      <c r="BJ57" s="20"/>
      <c r="BK57" s="34"/>
      <c r="BL57" s="20"/>
      <c r="BX57" s="88"/>
      <c r="BY57" s="90"/>
    </row>
    <row r="58" spans="9:77" x14ac:dyDescent="0.25">
      <c r="O58" s="12"/>
      <c r="P58" s="12"/>
      <c r="Q58" s="12"/>
      <c r="R58" s="12"/>
      <c r="T58" s="49"/>
      <c r="U58" s="49"/>
      <c r="V58" s="49"/>
      <c r="W58" s="50"/>
      <c r="X58" s="50"/>
      <c r="Y58" s="50"/>
      <c r="Z58" s="12"/>
      <c r="AA58" s="12"/>
      <c r="AB58" s="12"/>
      <c r="AC58" s="12"/>
      <c r="AD58" s="12"/>
      <c r="AE58" s="12"/>
      <c r="AF58" s="12"/>
      <c r="AG58" s="12"/>
      <c r="AH58" s="17"/>
      <c r="AI58" s="17"/>
      <c r="AJ58" s="17"/>
      <c r="AR58" s="20"/>
      <c r="AS58" s="20"/>
      <c r="AU58" s="20"/>
      <c r="AV58" s="20"/>
      <c r="AW58" s="20"/>
      <c r="AZ58" s="20"/>
      <c r="BA58" s="20"/>
      <c r="BB58" s="20"/>
      <c r="BC58" s="20"/>
      <c r="BD58" s="17"/>
      <c r="BE58" s="20"/>
      <c r="BF58" s="20"/>
      <c r="BG58" s="20"/>
      <c r="BH58" s="20"/>
      <c r="BI58" s="20"/>
      <c r="BJ58" s="20"/>
      <c r="BK58" s="34"/>
      <c r="BL58" s="20"/>
      <c r="BX58" s="88"/>
      <c r="BY58" s="90"/>
    </row>
    <row r="59" spans="9:77" x14ac:dyDescent="0.25">
      <c r="J59" s="17"/>
      <c r="O59" s="12"/>
      <c r="P59" s="12"/>
      <c r="Q59" s="12"/>
      <c r="R59" s="12"/>
      <c r="T59" s="49"/>
      <c r="U59" s="49"/>
      <c r="V59" s="49"/>
      <c r="W59" s="50"/>
      <c r="X59" s="50"/>
      <c r="Y59" s="50"/>
      <c r="Z59" s="12"/>
      <c r="AA59" s="12"/>
      <c r="AB59" s="12"/>
      <c r="AC59" s="12"/>
      <c r="AD59" s="12"/>
      <c r="AE59" s="12"/>
      <c r="AF59" s="12"/>
      <c r="AG59" s="12"/>
      <c r="AH59" s="17"/>
      <c r="AI59" s="17"/>
      <c r="AJ59" s="17"/>
      <c r="AR59" s="20"/>
      <c r="AS59" s="20"/>
      <c r="AU59" s="20"/>
      <c r="AV59" s="20"/>
      <c r="AW59" s="20"/>
      <c r="AZ59" s="20"/>
      <c r="BA59" s="20"/>
      <c r="BB59" s="20"/>
      <c r="BC59" s="20"/>
      <c r="BD59" s="17"/>
      <c r="BE59" s="20"/>
      <c r="BF59" s="20"/>
      <c r="BG59" s="20"/>
      <c r="BH59" s="20"/>
      <c r="BI59" s="20"/>
      <c r="BJ59" s="20"/>
      <c r="BK59" s="34"/>
      <c r="BL59" s="20"/>
      <c r="BX59" s="88"/>
      <c r="BY59" s="90"/>
    </row>
    <row r="60" spans="9:77" x14ac:dyDescent="0.25">
      <c r="O60" s="12"/>
      <c r="P60" s="12"/>
      <c r="Q60" s="12"/>
      <c r="R60" s="12"/>
      <c r="T60" s="49"/>
      <c r="U60" s="49"/>
      <c r="V60" s="49"/>
      <c r="W60" s="50"/>
      <c r="X60" s="50"/>
      <c r="Y60" s="50"/>
      <c r="Z60" s="12"/>
      <c r="AA60" s="12"/>
      <c r="AB60" s="12"/>
      <c r="AC60" s="12"/>
      <c r="AD60" s="12"/>
      <c r="AE60" s="12"/>
      <c r="AF60" s="12"/>
      <c r="AG60" s="12"/>
      <c r="AH60" s="17"/>
      <c r="AI60" s="17"/>
      <c r="AJ60" s="17"/>
      <c r="AR60" s="20"/>
      <c r="AS60" s="20"/>
      <c r="AU60" s="20"/>
      <c r="AV60" s="20"/>
      <c r="AW60" s="20"/>
      <c r="AZ60" s="20"/>
      <c r="BA60" s="20"/>
      <c r="BB60" s="20"/>
      <c r="BC60" s="20"/>
      <c r="BD60" s="17"/>
      <c r="BE60" s="20"/>
      <c r="BF60" s="20"/>
      <c r="BG60" s="20"/>
      <c r="BH60" s="20"/>
      <c r="BI60" s="20"/>
      <c r="BJ60" s="20"/>
      <c r="BK60" s="34"/>
      <c r="BL60" s="20"/>
      <c r="BX60" s="88"/>
      <c r="BY60" s="90"/>
    </row>
    <row r="61" spans="9:77" x14ac:dyDescent="0.25">
      <c r="O61" s="12"/>
      <c r="P61" s="12"/>
      <c r="Q61" s="12"/>
      <c r="R61" s="12"/>
      <c r="T61" s="49"/>
      <c r="U61" s="49"/>
      <c r="V61" s="49"/>
      <c r="W61" s="50"/>
      <c r="X61" s="50"/>
      <c r="Y61" s="50"/>
      <c r="Z61" s="12"/>
      <c r="AA61" s="12"/>
      <c r="AB61" s="12"/>
      <c r="AC61" s="12"/>
      <c r="AD61" s="12"/>
      <c r="AE61" s="12"/>
      <c r="AF61" s="12"/>
      <c r="AG61" s="12"/>
      <c r="AH61" s="17"/>
      <c r="AI61" s="17"/>
      <c r="AJ61" s="17"/>
      <c r="AR61" s="20"/>
      <c r="AS61" s="20"/>
      <c r="AU61" s="20"/>
      <c r="AV61" s="20"/>
      <c r="AW61" s="20"/>
      <c r="AZ61" s="20"/>
      <c r="BA61" s="20"/>
      <c r="BB61" s="20"/>
      <c r="BC61" s="20"/>
      <c r="BD61" s="17"/>
      <c r="BE61" s="20"/>
      <c r="BF61" s="20"/>
      <c r="BG61" s="20"/>
      <c r="BH61" s="20"/>
      <c r="BI61" s="20"/>
      <c r="BJ61" s="20"/>
      <c r="BK61" s="34"/>
      <c r="BL61" s="20"/>
      <c r="BX61" s="88"/>
      <c r="BY61" s="90"/>
    </row>
    <row r="62" spans="9:77" x14ac:dyDescent="0.25">
      <c r="O62" s="12"/>
      <c r="P62" s="12"/>
      <c r="Q62" s="48"/>
      <c r="R62" s="12"/>
      <c r="T62" s="49"/>
      <c r="U62" s="49"/>
      <c r="V62" s="49"/>
      <c r="W62" s="50"/>
      <c r="X62" s="50"/>
      <c r="Y62" s="50"/>
      <c r="Z62" s="12"/>
      <c r="AA62" s="12"/>
      <c r="AB62" s="12"/>
      <c r="AC62" s="12"/>
      <c r="AD62" s="12"/>
      <c r="AE62" s="12"/>
      <c r="AF62" s="12"/>
      <c r="AG62" s="12"/>
      <c r="AH62" s="17"/>
      <c r="AI62" s="17"/>
      <c r="AJ62" s="17"/>
      <c r="AR62" s="20"/>
      <c r="AS62" s="20"/>
      <c r="AU62" s="20"/>
      <c r="AV62" s="20"/>
      <c r="AW62" s="20"/>
      <c r="AZ62" s="20"/>
      <c r="BA62" s="20"/>
      <c r="BB62" s="20"/>
      <c r="BC62" s="20"/>
      <c r="BD62" s="17"/>
      <c r="BE62" s="20"/>
      <c r="BF62" s="20"/>
      <c r="BG62" s="20"/>
      <c r="BH62" s="20"/>
      <c r="BI62" s="20"/>
      <c r="BJ62" s="20"/>
      <c r="BK62" s="34"/>
      <c r="BL62" s="20"/>
      <c r="BX62" s="88"/>
      <c r="BY62" s="90"/>
    </row>
    <row r="63" spans="9:77" x14ac:dyDescent="0.25">
      <c r="J63" s="12"/>
      <c r="K63" s="12"/>
      <c r="L63" s="12"/>
      <c r="M63" s="12"/>
      <c r="N63" s="12"/>
      <c r="O63" s="12"/>
      <c r="P63" s="12"/>
      <c r="Q63" s="12"/>
      <c r="R63" s="12"/>
      <c r="T63" s="49"/>
      <c r="U63" s="49"/>
      <c r="V63" s="49"/>
      <c r="W63" s="50"/>
      <c r="X63" s="50"/>
      <c r="Y63" s="50"/>
      <c r="Z63" s="12"/>
      <c r="AA63" s="12"/>
      <c r="AB63" s="12"/>
      <c r="AC63" s="12"/>
      <c r="AD63" s="12"/>
      <c r="AE63" s="12"/>
      <c r="AF63" s="12"/>
      <c r="AG63" s="12"/>
      <c r="AH63" s="17"/>
      <c r="AI63" s="17"/>
      <c r="AJ63" s="17"/>
      <c r="AK63" s="12"/>
      <c r="AL63" s="12"/>
      <c r="AM63" s="12"/>
      <c r="AR63" s="51"/>
      <c r="AS63" s="51"/>
      <c r="AT63" s="12"/>
      <c r="AU63" s="20"/>
      <c r="AV63" s="51"/>
      <c r="AW63" s="51"/>
      <c r="AX63" s="12"/>
      <c r="AY63" s="12"/>
      <c r="AZ63" s="20"/>
      <c r="BA63" s="20"/>
      <c r="BB63" s="51"/>
      <c r="BC63" s="51"/>
      <c r="BD63" s="48"/>
      <c r="BE63" s="20"/>
      <c r="BF63" s="51"/>
      <c r="BG63" s="51"/>
      <c r="BH63" s="20"/>
      <c r="BI63" s="20"/>
      <c r="BJ63" s="20"/>
      <c r="BK63" s="34"/>
      <c r="BL63" s="51"/>
      <c r="BX63" s="88"/>
      <c r="BY63" s="91"/>
    </row>
    <row r="64" spans="9:77" x14ac:dyDescent="0.25">
      <c r="J64" s="12"/>
      <c r="K64" s="12"/>
      <c r="L64" s="12"/>
      <c r="M64" s="12"/>
      <c r="N64" s="12"/>
      <c r="O64" s="12"/>
      <c r="P64" s="12"/>
      <c r="Q64" s="12"/>
      <c r="R64" s="12"/>
      <c r="T64" s="49"/>
      <c r="U64" s="49"/>
      <c r="V64" s="49"/>
      <c r="W64" s="50"/>
      <c r="X64" s="50"/>
      <c r="Y64" s="50"/>
      <c r="Z64" s="12"/>
      <c r="AA64" s="12"/>
      <c r="AB64" s="12"/>
      <c r="AC64" s="12"/>
      <c r="AD64" s="12"/>
      <c r="AE64" s="12"/>
      <c r="AF64" s="12"/>
      <c r="AG64" s="12"/>
      <c r="AH64" s="17"/>
      <c r="AI64" s="17"/>
      <c r="AJ64" s="17"/>
      <c r="AK64" s="12"/>
      <c r="AL64" s="12"/>
      <c r="AM64" s="12"/>
      <c r="AR64" s="51"/>
      <c r="AS64" s="51"/>
      <c r="AT64" s="12"/>
      <c r="AU64" s="20"/>
      <c r="AV64" s="51"/>
      <c r="AW64" s="51"/>
      <c r="AX64" s="12"/>
      <c r="AY64" s="12"/>
      <c r="AZ64" s="20"/>
      <c r="BA64" s="20"/>
      <c r="BB64" s="51"/>
      <c r="BC64" s="51"/>
      <c r="BD64" s="48"/>
      <c r="BE64" s="20"/>
      <c r="BF64" s="51"/>
      <c r="BG64" s="51"/>
      <c r="BH64" s="20"/>
      <c r="BI64" s="20"/>
      <c r="BJ64" s="20"/>
      <c r="BK64" s="34"/>
      <c r="BL64" s="51"/>
      <c r="BX64" s="88"/>
      <c r="BY64" s="89"/>
    </row>
    <row r="65" spans="10:77" x14ac:dyDescent="0.25">
      <c r="J65" s="52"/>
      <c r="K65" s="52"/>
      <c r="L65" s="52"/>
      <c r="M65" s="52"/>
      <c r="N65" s="52"/>
      <c r="O65" s="12"/>
      <c r="P65" s="12"/>
      <c r="Q65" s="12"/>
      <c r="R65" s="12"/>
      <c r="T65" s="49"/>
      <c r="U65" s="49"/>
      <c r="V65" s="49"/>
      <c r="W65" s="50"/>
      <c r="X65" s="50"/>
      <c r="Y65" s="50"/>
      <c r="Z65" s="12"/>
      <c r="AA65" s="12"/>
      <c r="AB65" s="12"/>
      <c r="AC65" s="12"/>
      <c r="AD65" s="12"/>
      <c r="AE65" s="12"/>
      <c r="AF65" s="12"/>
      <c r="AG65" s="12"/>
      <c r="AH65" s="17"/>
      <c r="AI65" s="17"/>
      <c r="AJ65" s="17"/>
      <c r="AK65" s="52"/>
      <c r="AL65" s="52"/>
      <c r="AM65" s="52"/>
      <c r="AR65" s="53"/>
      <c r="AS65" s="53"/>
      <c r="AT65" s="52"/>
      <c r="AU65" s="20"/>
      <c r="AV65" s="53"/>
      <c r="AW65" s="53"/>
      <c r="AX65" s="52"/>
      <c r="AY65" s="52"/>
      <c r="AZ65" s="20"/>
      <c r="BA65" s="20"/>
      <c r="BB65" s="53"/>
      <c r="BC65" s="53"/>
      <c r="BD65" s="54"/>
      <c r="BE65" s="20"/>
      <c r="BF65" s="53"/>
      <c r="BG65" s="53"/>
      <c r="BH65" s="20"/>
      <c r="BI65" s="20"/>
      <c r="BJ65" s="20"/>
      <c r="BK65" s="34"/>
      <c r="BL65" s="53"/>
      <c r="BX65" s="88"/>
      <c r="BY65" s="90"/>
    </row>
    <row r="66" spans="10:77" x14ac:dyDescent="0.25">
      <c r="O66" s="12"/>
      <c r="P66" s="12"/>
      <c r="Q66" s="12"/>
      <c r="R66" s="12"/>
      <c r="T66" s="49"/>
      <c r="U66" s="49"/>
      <c r="V66" s="49"/>
      <c r="W66" s="50"/>
      <c r="X66" s="50"/>
      <c r="Y66" s="50"/>
      <c r="Z66" s="12"/>
      <c r="AA66" s="12"/>
      <c r="AB66" s="12"/>
      <c r="AC66" s="12"/>
      <c r="AD66" s="12"/>
      <c r="AE66" s="12"/>
      <c r="AF66" s="12"/>
      <c r="AG66" s="12"/>
      <c r="AH66" s="17"/>
      <c r="AI66" s="17"/>
      <c r="AJ66" s="17"/>
      <c r="AR66" s="20"/>
      <c r="AS66" s="20"/>
      <c r="AU66" s="20"/>
      <c r="AV66" s="20"/>
      <c r="AW66" s="20"/>
      <c r="AZ66" s="20"/>
      <c r="BA66" s="20"/>
      <c r="BB66" s="20"/>
      <c r="BC66" s="20"/>
      <c r="BD66" s="17"/>
      <c r="BE66" s="20"/>
      <c r="BF66" s="20"/>
      <c r="BG66" s="20"/>
      <c r="BH66" s="20"/>
      <c r="BI66" s="20"/>
      <c r="BJ66" s="20"/>
      <c r="BK66" s="34"/>
      <c r="BL66" s="20"/>
      <c r="BX66" s="88"/>
      <c r="BY66" s="90"/>
    </row>
    <row r="67" spans="10:77" x14ac:dyDescent="0.25">
      <c r="O67" s="12"/>
      <c r="P67" s="12"/>
      <c r="Q67" s="12"/>
      <c r="R67" s="12"/>
      <c r="T67" s="49"/>
      <c r="U67" s="49"/>
      <c r="V67" s="49"/>
      <c r="W67" s="50"/>
      <c r="X67" s="50"/>
      <c r="Y67" s="50"/>
      <c r="Z67" s="12"/>
      <c r="AA67" s="12"/>
      <c r="AB67" s="12"/>
      <c r="AC67" s="12"/>
      <c r="AD67" s="12"/>
      <c r="AE67" s="12"/>
      <c r="AF67" s="12"/>
      <c r="AG67" s="12"/>
      <c r="AH67" s="17"/>
      <c r="AI67" s="17"/>
      <c r="AJ67" s="17"/>
      <c r="AR67" s="20"/>
      <c r="AS67" s="20"/>
      <c r="AU67" s="20"/>
      <c r="AV67" s="20"/>
      <c r="AW67" s="20"/>
      <c r="AZ67" s="20"/>
      <c r="BA67" s="20"/>
      <c r="BB67" s="20"/>
      <c r="BC67" s="20"/>
      <c r="BD67" s="17"/>
      <c r="BE67" s="20"/>
      <c r="BF67" s="20"/>
      <c r="BG67" s="20"/>
      <c r="BH67" s="20"/>
      <c r="BI67" s="20"/>
      <c r="BJ67" s="20"/>
      <c r="BK67" s="34"/>
      <c r="BL67" s="20"/>
      <c r="BX67" s="88"/>
      <c r="BY67" s="90"/>
    </row>
    <row r="68" spans="10:77" x14ac:dyDescent="0.25">
      <c r="O68" s="12"/>
      <c r="P68" s="12"/>
      <c r="Q68" s="12"/>
      <c r="R68" s="12"/>
      <c r="Z68" s="12"/>
      <c r="AA68" s="12"/>
      <c r="AB68" s="12"/>
      <c r="AC68" s="12"/>
      <c r="AD68" s="12"/>
      <c r="AE68" s="12"/>
      <c r="AF68" s="12"/>
      <c r="AG68" s="12"/>
      <c r="BX68" s="88"/>
      <c r="BY68" s="90"/>
    </row>
    <row r="69" spans="10:77" x14ac:dyDescent="0.25">
      <c r="O69" s="12"/>
      <c r="P69" s="12"/>
      <c r="Q69" s="12"/>
      <c r="R69" s="12"/>
      <c r="Z69" s="12"/>
      <c r="AA69" s="12"/>
      <c r="AB69" s="12"/>
      <c r="AC69" s="12"/>
      <c r="AD69" s="12"/>
      <c r="AE69" s="12"/>
      <c r="AF69" s="12"/>
      <c r="AG69" s="12"/>
      <c r="BX69" s="88"/>
      <c r="BY69" s="90"/>
    </row>
    <row r="70" spans="10:77" x14ac:dyDescent="0.25">
      <c r="O70" s="12"/>
      <c r="P70" s="12"/>
      <c r="Q70" s="12"/>
      <c r="R70" s="12"/>
      <c r="Z70" s="12"/>
      <c r="AA70" s="12"/>
      <c r="AB70" s="12"/>
      <c r="AC70" s="12"/>
      <c r="AD70" s="12"/>
      <c r="AE70" s="12"/>
      <c r="AF70" s="12"/>
      <c r="AG70" s="12"/>
      <c r="BX70" s="88"/>
      <c r="BY70" s="90"/>
    </row>
    <row r="71" spans="10:77" x14ac:dyDescent="0.25">
      <c r="O71" s="12"/>
      <c r="P71" s="12"/>
      <c r="Q71" s="12"/>
      <c r="R71" s="12"/>
      <c r="Z71" s="12"/>
      <c r="AA71" s="12"/>
      <c r="AB71" s="12"/>
      <c r="AC71" s="12"/>
      <c r="AD71" s="12"/>
      <c r="AE71" s="12"/>
      <c r="AF71" s="12"/>
      <c r="AG71" s="12"/>
      <c r="BX71" s="88"/>
      <c r="BY71" s="90"/>
    </row>
    <row r="72" spans="10:77" x14ac:dyDescent="0.25">
      <c r="O72" s="12"/>
      <c r="P72" s="12"/>
      <c r="Q72" s="12"/>
      <c r="R72" s="12"/>
      <c r="Z72" s="12"/>
      <c r="AA72" s="12"/>
      <c r="AB72" s="12"/>
      <c r="AC72" s="12"/>
      <c r="AD72" s="12"/>
      <c r="AE72" s="12"/>
      <c r="AF72" s="12"/>
      <c r="AG72" s="12"/>
      <c r="BX72" s="88"/>
      <c r="BY72" s="90"/>
    </row>
    <row r="73" spans="10:77" x14ac:dyDescent="0.25">
      <c r="O73" s="12"/>
      <c r="P73" s="12"/>
      <c r="Q73" s="12"/>
      <c r="R73" s="12"/>
      <c r="Z73" s="12"/>
      <c r="AA73" s="12"/>
      <c r="AC73" s="12"/>
      <c r="AD73" s="12"/>
      <c r="AF73" s="12"/>
      <c r="AG73" s="12"/>
      <c r="BH73" s="13"/>
      <c r="BI73" s="13"/>
      <c r="BJ73" s="13"/>
      <c r="BK73" s="13"/>
      <c r="BL73" s="13"/>
      <c r="BX73" s="88"/>
      <c r="BY73" s="90"/>
    </row>
    <row r="74" spans="10:77" x14ac:dyDescent="0.25">
      <c r="O74" s="12"/>
      <c r="P74" s="12"/>
      <c r="Q74" s="12"/>
      <c r="R74" s="12"/>
      <c r="Z74" s="12"/>
      <c r="AA74" s="12"/>
      <c r="AC74" s="12"/>
      <c r="AD74" s="12"/>
      <c r="AF74" s="12"/>
      <c r="AG74" s="12"/>
      <c r="BH74" s="13"/>
      <c r="BI74" s="13"/>
      <c r="BJ74" s="13"/>
      <c r="BK74" s="13"/>
      <c r="BL74" s="13"/>
      <c r="BX74" s="88"/>
      <c r="BY74" s="90"/>
    </row>
    <row r="75" spans="10:77" x14ac:dyDescent="0.25">
      <c r="O75" s="12"/>
      <c r="P75" s="12"/>
      <c r="Q75" s="12"/>
      <c r="R75" s="12"/>
      <c r="Z75" s="12"/>
      <c r="AA75" s="12"/>
      <c r="AC75" s="12"/>
      <c r="AD75" s="12"/>
      <c r="AF75" s="12"/>
      <c r="AG75" s="12"/>
      <c r="BH75" s="13"/>
      <c r="BI75" s="13"/>
      <c r="BJ75" s="13"/>
      <c r="BK75" s="13"/>
      <c r="BL75" s="13"/>
      <c r="BX75" s="88"/>
      <c r="BY75" s="90"/>
    </row>
    <row r="76" spans="10:77" x14ac:dyDescent="0.25">
      <c r="O76" s="12"/>
      <c r="P76" s="12"/>
      <c r="Q76" s="12"/>
      <c r="R76" s="12"/>
      <c r="Z76" s="12"/>
      <c r="AA76" s="12"/>
      <c r="AC76" s="12"/>
      <c r="AD76" s="12"/>
      <c r="AF76" s="12"/>
      <c r="AG76" s="12"/>
      <c r="BH76" s="13"/>
      <c r="BI76" s="13"/>
      <c r="BJ76" s="13"/>
      <c r="BK76" s="13"/>
      <c r="BL76" s="13"/>
      <c r="BX76" s="88"/>
      <c r="BY76" s="90"/>
    </row>
    <row r="77" spans="10:77" x14ac:dyDescent="0.25">
      <c r="O77" s="12"/>
      <c r="P77" s="12"/>
      <c r="Q77" s="12"/>
      <c r="R77" s="12"/>
      <c r="Z77" s="12"/>
      <c r="AA77" s="12"/>
      <c r="AC77" s="12"/>
      <c r="AD77" s="12"/>
      <c r="AF77" s="12"/>
      <c r="AG77" s="12"/>
      <c r="BH77" s="13"/>
      <c r="BI77" s="13"/>
      <c r="BJ77" s="13"/>
      <c r="BK77" s="13"/>
      <c r="BL77" s="13"/>
      <c r="BX77" s="88"/>
      <c r="BY77" s="90"/>
    </row>
    <row r="78" spans="10:77" x14ac:dyDescent="0.25">
      <c r="O78" s="12"/>
      <c r="P78" s="12"/>
      <c r="Q78" s="12"/>
      <c r="R78" s="12"/>
      <c r="Z78" s="12"/>
      <c r="AA78" s="12"/>
      <c r="AC78" s="12"/>
      <c r="AD78" s="12"/>
      <c r="AF78" s="12"/>
      <c r="AG78" s="12"/>
      <c r="BH78" s="13"/>
      <c r="BI78" s="13"/>
      <c r="BJ78" s="13"/>
      <c r="BK78" s="13"/>
      <c r="BL78" s="13"/>
      <c r="BX78" s="88"/>
      <c r="BY78" s="90"/>
    </row>
    <row r="79" spans="10:77" x14ac:dyDescent="0.25">
      <c r="O79" s="12"/>
      <c r="P79" s="12"/>
      <c r="Q79" s="12"/>
      <c r="R79" s="12"/>
      <c r="BH79" s="13"/>
      <c r="BI79" s="13"/>
      <c r="BJ79" s="13"/>
      <c r="BK79" s="13"/>
      <c r="BL79" s="13"/>
      <c r="BX79" s="88"/>
      <c r="BY79" s="90"/>
    </row>
    <row r="80" spans="10:77" x14ac:dyDescent="0.25">
      <c r="O80" s="12"/>
      <c r="P80" s="12"/>
      <c r="Q80" s="12"/>
      <c r="R80" s="12"/>
      <c r="BH80" s="13"/>
      <c r="BI80" s="13"/>
      <c r="BJ80" s="13"/>
      <c r="BK80" s="13"/>
      <c r="BL80" s="13"/>
      <c r="BX80" s="88"/>
      <c r="BY80" s="90"/>
    </row>
    <row r="81" spans="15:77" x14ac:dyDescent="0.25">
      <c r="O81" s="12"/>
      <c r="P81" s="12"/>
      <c r="Q81" s="12"/>
      <c r="R81" s="12"/>
      <c r="BH81" s="13"/>
      <c r="BI81" s="13"/>
      <c r="BJ81" s="13"/>
      <c r="BK81" s="13"/>
      <c r="BL81" s="13"/>
      <c r="BX81" s="88"/>
      <c r="BY81" s="90"/>
    </row>
    <row r="82" spans="15:77" x14ac:dyDescent="0.25">
      <c r="BX82" s="88"/>
      <c r="BY82" s="90"/>
    </row>
    <row r="83" spans="15:77" x14ac:dyDescent="0.25">
      <c r="BX83" s="88"/>
      <c r="BY83" s="90"/>
    </row>
    <row r="84" spans="15:77" x14ac:dyDescent="0.25">
      <c r="BX84" s="88"/>
      <c r="BY84" s="90"/>
    </row>
    <row r="85" spans="15:77" x14ac:dyDescent="0.25">
      <c r="BX85" s="88"/>
      <c r="BY85" s="90"/>
    </row>
    <row r="86" spans="15:77" x14ac:dyDescent="0.25">
      <c r="BX86" s="88"/>
      <c r="BY86" s="90"/>
    </row>
    <row r="87" spans="15:77" x14ac:dyDescent="0.25">
      <c r="BX87" s="88"/>
      <c r="BY87" s="90"/>
    </row>
    <row r="88" spans="15:77" x14ac:dyDescent="0.25">
      <c r="BX88" s="88"/>
      <c r="BY88" s="90"/>
    </row>
    <row r="89" spans="15:77" x14ac:dyDescent="0.25">
      <c r="BX89" s="88"/>
      <c r="BY89" s="90"/>
    </row>
    <row r="90" spans="15:77" x14ac:dyDescent="0.25">
      <c r="BX90" s="88"/>
      <c r="BY90" s="90"/>
    </row>
    <row r="91" spans="15:77" x14ac:dyDescent="0.25">
      <c r="BX91" s="88"/>
      <c r="BY91" s="90"/>
    </row>
    <row r="92" spans="15:77" x14ac:dyDescent="0.25">
      <c r="BX92" s="88"/>
      <c r="BY92" s="91"/>
    </row>
    <row r="93" spans="15:77" x14ac:dyDescent="0.25">
      <c r="BX93" s="88"/>
      <c r="BY93" s="89"/>
    </row>
    <row r="94" spans="15:77" x14ac:dyDescent="0.25">
      <c r="BX94" s="88"/>
      <c r="BY94" s="90"/>
    </row>
    <row r="95" spans="15:77" x14ac:dyDescent="0.25">
      <c r="BX95" s="88"/>
      <c r="BY95" s="90"/>
    </row>
    <row r="96" spans="15:77" x14ac:dyDescent="0.25">
      <c r="BX96" s="88"/>
      <c r="BY96" s="90"/>
    </row>
    <row r="97" spans="76:77" x14ac:dyDescent="0.25">
      <c r="BX97" s="88"/>
      <c r="BY97" s="90"/>
    </row>
    <row r="98" spans="76:77" x14ac:dyDescent="0.25">
      <c r="BX98" s="88"/>
      <c r="BY98" s="90"/>
    </row>
    <row r="99" spans="76:77" x14ac:dyDescent="0.25">
      <c r="BX99" s="88"/>
      <c r="BY99" s="90"/>
    </row>
    <row r="100" spans="76:77" x14ac:dyDescent="0.25">
      <c r="BX100" s="88"/>
      <c r="BY100" s="90"/>
    </row>
    <row r="101" spans="76:77" x14ac:dyDescent="0.25">
      <c r="BX101" s="88"/>
      <c r="BY101" s="90"/>
    </row>
    <row r="102" spans="76:77" x14ac:dyDescent="0.25">
      <c r="BX102" s="88"/>
      <c r="BY102" s="90"/>
    </row>
    <row r="103" spans="76:77" x14ac:dyDescent="0.25">
      <c r="BX103" s="88"/>
      <c r="BY103" s="90"/>
    </row>
    <row r="104" spans="76:77" x14ac:dyDescent="0.25">
      <c r="BX104" s="88"/>
      <c r="BY104" s="90"/>
    </row>
    <row r="105" spans="76:77" x14ac:dyDescent="0.25">
      <c r="BX105" s="88"/>
      <c r="BY105" s="90"/>
    </row>
    <row r="106" spans="76:77" x14ac:dyDescent="0.25">
      <c r="BX106" s="88"/>
      <c r="BY106" s="90"/>
    </row>
    <row r="107" spans="76:77" x14ac:dyDescent="0.25">
      <c r="BX107" s="88"/>
      <c r="BY107" s="90"/>
    </row>
    <row r="108" spans="76:77" x14ac:dyDescent="0.25">
      <c r="BX108" s="88"/>
      <c r="BY108" s="90"/>
    </row>
    <row r="109" spans="76:77" x14ac:dyDescent="0.25">
      <c r="BX109" s="88"/>
      <c r="BY109" s="90"/>
    </row>
    <row r="110" spans="76:77" x14ac:dyDescent="0.25">
      <c r="BX110" s="88"/>
      <c r="BY110" s="90"/>
    </row>
    <row r="111" spans="76:77" x14ac:dyDescent="0.25">
      <c r="BX111" s="88"/>
      <c r="BY111" s="90"/>
    </row>
    <row r="112" spans="76:77" x14ac:dyDescent="0.25">
      <c r="BX112" s="88"/>
      <c r="BY112" s="90"/>
    </row>
    <row r="113" spans="76:77" x14ac:dyDescent="0.25">
      <c r="BX113" s="88"/>
      <c r="BY113" s="90"/>
    </row>
    <row r="114" spans="76:77" x14ac:dyDescent="0.25">
      <c r="BX114" s="88"/>
      <c r="BY114" s="90"/>
    </row>
    <row r="115" spans="76:77" x14ac:dyDescent="0.25">
      <c r="BX115" s="88"/>
      <c r="BY115" s="90"/>
    </row>
    <row r="116" spans="76:77" x14ac:dyDescent="0.25">
      <c r="BX116" s="88"/>
      <c r="BY116" s="90"/>
    </row>
    <row r="117" spans="76:77" x14ac:dyDescent="0.25">
      <c r="BX117" s="88"/>
      <c r="BY117" s="90"/>
    </row>
    <row r="118" spans="76:77" x14ac:dyDescent="0.25">
      <c r="BX118" s="88"/>
      <c r="BY118" s="90"/>
    </row>
    <row r="119" spans="76:77" x14ac:dyDescent="0.25">
      <c r="BX119" s="88"/>
      <c r="BY119" s="90"/>
    </row>
    <row r="120" spans="76:77" x14ac:dyDescent="0.25">
      <c r="BX120" s="88"/>
      <c r="BY120" s="90"/>
    </row>
    <row r="121" spans="76:77" x14ac:dyDescent="0.25">
      <c r="BX121" s="88"/>
      <c r="BY121" s="91"/>
    </row>
    <row r="122" spans="76:77" x14ac:dyDescent="0.25">
      <c r="BX122" s="88"/>
      <c r="BY122" s="89"/>
    </row>
    <row r="123" spans="76:77" x14ac:dyDescent="0.25">
      <c r="BX123" s="88"/>
      <c r="BY123" s="90"/>
    </row>
    <row r="124" spans="76:77" x14ac:dyDescent="0.25">
      <c r="BX124" s="88"/>
      <c r="BY124" s="90"/>
    </row>
    <row r="125" spans="76:77" x14ac:dyDescent="0.25">
      <c r="BX125" s="88"/>
      <c r="BY125" s="90"/>
    </row>
    <row r="126" spans="76:77" x14ac:dyDescent="0.25">
      <c r="BX126" s="88"/>
      <c r="BY126" s="90"/>
    </row>
    <row r="127" spans="76:77" x14ac:dyDescent="0.25">
      <c r="BX127" s="88"/>
      <c r="BY127" s="90"/>
    </row>
    <row r="128" spans="76:77" x14ac:dyDescent="0.25">
      <c r="BX128" s="88"/>
      <c r="BY128" s="90"/>
    </row>
    <row r="129" spans="76:77" x14ac:dyDescent="0.25">
      <c r="BX129" s="88"/>
      <c r="BY129" s="90"/>
    </row>
    <row r="130" spans="76:77" x14ac:dyDescent="0.25">
      <c r="BX130" s="88"/>
      <c r="BY130" s="90"/>
    </row>
    <row r="131" spans="76:77" x14ac:dyDescent="0.25">
      <c r="BX131" s="88"/>
      <c r="BY131" s="90"/>
    </row>
    <row r="132" spans="76:77" x14ac:dyDescent="0.25">
      <c r="BX132" s="88"/>
      <c r="BY132" s="90"/>
    </row>
    <row r="133" spans="76:77" x14ac:dyDescent="0.25">
      <c r="BX133" s="88"/>
      <c r="BY133" s="90"/>
    </row>
    <row r="134" spans="76:77" x14ac:dyDescent="0.25">
      <c r="BX134" s="88"/>
      <c r="BY134" s="90"/>
    </row>
    <row r="135" spans="76:77" x14ac:dyDescent="0.25">
      <c r="BX135" s="88"/>
      <c r="BY135" s="90"/>
    </row>
    <row r="136" spans="76:77" x14ac:dyDescent="0.25">
      <c r="BX136" s="88"/>
      <c r="BY136" s="90"/>
    </row>
    <row r="137" spans="76:77" x14ac:dyDescent="0.25">
      <c r="BX137" s="88"/>
      <c r="BY137" s="90"/>
    </row>
    <row r="138" spans="76:77" x14ac:dyDescent="0.25">
      <c r="BX138" s="88"/>
      <c r="BY138" s="90"/>
    </row>
    <row r="139" spans="76:77" x14ac:dyDescent="0.25">
      <c r="BX139" s="88"/>
      <c r="BY139" s="90"/>
    </row>
    <row r="140" spans="76:77" x14ac:dyDescent="0.25">
      <c r="BX140" s="88"/>
      <c r="BY140" s="90"/>
    </row>
    <row r="141" spans="76:77" x14ac:dyDescent="0.25">
      <c r="BX141" s="88"/>
      <c r="BY141" s="90"/>
    </row>
    <row r="142" spans="76:77" x14ac:dyDescent="0.25">
      <c r="BX142" s="88"/>
      <c r="BY142" s="90"/>
    </row>
    <row r="143" spans="76:77" x14ac:dyDescent="0.25">
      <c r="BX143" s="88"/>
      <c r="BY143" s="90"/>
    </row>
    <row r="144" spans="76:77" x14ac:dyDescent="0.25">
      <c r="BX144" s="88"/>
      <c r="BY144" s="90"/>
    </row>
    <row r="145" spans="76:77" x14ac:dyDescent="0.25">
      <c r="BX145" s="88"/>
      <c r="BY145" s="90"/>
    </row>
    <row r="146" spans="76:77" x14ac:dyDescent="0.25">
      <c r="BX146" s="88"/>
      <c r="BY146" s="90"/>
    </row>
    <row r="147" spans="76:77" x14ac:dyDescent="0.25">
      <c r="BX147" s="88"/>
      <c r="BY147" s="90"/>
    </row>
    <row r="148" spans="76:77" x14ac:dyDescent="0.25">
      <c r="BX148" s="88"/>
      <c r="BY148" s="90"/>
    </row>
    <row r="149" spans="76:77" x14ac:dyDescent="0.25">
      <c r="BX149" s="88"/>
      <c r="BY149" s="90"/>
    </row>
    <row r="150" spans="76:77" x14ac:dyDescent="0.25">
      <c r="BX150" s="88"/>
      <c r="BY150" s="91"/>
    </row>
    <row r="151" spans="76:77" x14ac:dyDescent="0.25">
      <c r="BX151" s="88"/>
      <c r="BY151" s="89"/>
    </row>
    <row r="152" spans="76:77" x14ac:dyDescent="0.25">
      <c r="BX152" s="88"/>
      <c r="BY152" s="90"/>
    </row>
    <row r="153" spans="76:77" x14ac:dyDescent="0.25">
      <c r="BX153" s="88"/>
      <c r="BY153" s="90"/>
    </row>
    <row r="154" spans="76:77" x14ac:dyDescent="0.25">
      <c r="BX154" s="88"/>
      <c r="BY154" s="90"/>
    </row>
    <row r="155" spans="76:77" x14ac:dyDescent="0.25">
      <c r="BX155" s="88"/>
      <c r="BY155" s="90"/>
    </row>
    <row r="156" spans="76:77" x14ac:dyDescent="0.25">
      <c r="BX156" s="88"/>
      <c r="BY156" s="90"/>
    </row>
    <row r="157" spans="76:77" x14ac:dyDescent="0.25">
      <c r="BX157" s="88"/>
      <c r="BY157" s="90"/>
    </row>
    <row r="158" spans="76:77" x14ac:dyDescent="0.25">
      <c r="BX158" s="88"/>
      <c r="BY158" s="90"/>
    </row>
    <row r="159" spans="76:77" x14ac:dyDescent="0.25">
      <c r="BX159" s="88"/>
      <c r="BY159" s="90"/>
    </row>
    <row r="160" spans="76:77" x14ac:dyDescent="0.25">
      <c r="BX160" s="88"/>
      <c r="BY160" s="90"/>
    </row>
    <row r="161" spans="76:77" x14ac:dyDescent="0.25">
      <c r="BX161" s="88"/>
      <c r="BY161" s="90"/>
    </row>
    <row r="162" spans="76:77" x14ac:dyDescent="0.25">
      <c r="BX162" s="88"/>
      <c r="BY162" s="90"/>
    </row>
    <row r="163" spans="76:77" x14ac:dyDescent="0.25">
      <c r="BX163" s="88"/>
      <c r="BY163" s="90"/>
    </row>
    <row r="164" spans="76:77" x14ac:dyDescent="0.25">
      <c r="BX164" s="88"/>
      <c r="BY164" s="90"/>
    </row>
    <row r="165" spans="76:77" x14ac:dyDescent="0.25">
      <c r="BX165" s="88"/>
      <c r="BY165" s="90"/>
    </row>
    <row r="166" spans="76:77" x14ac:dyDescent="0.25">
      <c r="BX166" s="88"/>
      <c r="BY166" s="90"/>
    </row>
    <row r="167" spans="76:77" x14ac:dyDescent="0.25">
      <c r="BX167" s="88"/>
      <c r="BY167" s="90"/>
    </row>
    <row r="168" spans="76:77" x14ac:dyDescent="0.25">
      <c r="BX168" s="88"/>
      <c r="BY168" s="90"/>
    </row>
    <row r="169" spans="76:77" x14ac:dyDescent="0.25">
      <c r="BX169" s="88"/>
      <c r="BY169" s="90"/>
    </row>
    <row r="170" spans="76:77" x14ac:dyDescent="0.25">
      <c r="BX170" s="88"/>
      <c r="BY170" s="90"/>
    </row>
    <row r="171" spans="76:77" x14ac:dyDescent="0.25">
      <c r="BX171" s="88"/>
      <c r="BY171" s="90"/>
    </row>
    <row r="172" spans="76:77" x14ac:dyDescent="0.25">
      <c r="BX172" s="88"/>
      <c r="BY172" s="90"/>
    </row>
    <row r="173" spans="76:77" x14ac:dyDescent="0.25">
      <c r="BX173" s="88"/>
      <c r="BY173" s="90"/>
    </row>
    <row r="174" spans="76:77" x14ac:dyDescent="0.25">
      <c r="BX174" s="88"/>
      <c r="BY174" s="90"/>
    </row>
    <row r="175" spans="76:77" x14ac:dyDescent="0.25">
      <c r="BX175" s="88"/>
      <c r="BY175" s="90"/>
    </row>
    <row r="176" spans="76:77" x14ac:dyDescent="0.25">
      <c r="BX176" s="88"/>
      <c r="BY176" s="90"/>
    </row>
    <row r="177" spans="76:77" x14ac:dyDescent="0.25">
      <c r="BX177" s="88"/>
      <c r="BY177" s="90"/>
    </row>
    <row r="178" spans="76:77" x14ac:dyDescent="0.25">
      <c r="BX178" s="88"/>
      <c r="BY178" s="90"/>
    </row>
    <row r="179" spans="76:77" x14ac:dyDescent="0.25">
      <c r="BX179" s="88"/>
      <c r="BY179" s="91"/>
    </row>
    <row r="180" spans="76:77" x14ac:dyDescent="0.25">
      <c r="BX180" s="88"/>
      <c r="BY180" s="89"/>
    </row>
    <row r="181" spans="76:77" x14ac:dyDescent="0.25">
      <c r="BX181" s="88"/>
      <c r="BY181" s="90"/>
    </row>
    <row r="182" spans="76:77" x14ac:dyDescent="0.25">
      <c r="BX182" s="88"/>
      <c r="BY182" s="90"/>
    </row>
    <row r="183" spans="76:77" x14ac:dyDescent="0.25">
      <c r="BX183" s="88"/>
      <c r="BY183" s="90"/>
    </row>
    <row r="184" spans="76:77" x14ac:dyDescent="0.25">
      <c r="BX184" s="88"/>
      <c r="BY184" s="90"/>
    </row>
    <row r="185" spans="76:77" x14ac:dyDescent="0.25">
      <c r="BX185" s="88"/>
      <c r="BY185" s="90"/>
    </row>
    <row r="186" spans="76:77" x14ac:dyDescent="0.25">
      <c r="BX186" s="88"/>
      <c r="BY186" s="90"/>
    </row>
    <row r="187" spans="76:77" x14ac:dyDescent="0.25">
      <c r="BX187" s="88"/>
      <c r="BY187" s="90"/>
    </row>
    <row r="188" spans="76:77" x14ac:dyDescent="0.25">
      <c r="BX188" s="88"/>
      <c r="BY188" s="90"/>
    </row>
    <row r="189" spans="76:77" x14ac:dyDescent="0.25">
      <c r="BX189" s="88"/>
      <c r="BY189" s="90"/>
    </row>
    <row r="190" spans="76:77" x14ac:dyDescent="0.25">
      <c r="BX190" s="88"/>
      <c r="BY190" s="90"/>
    </row>
    <row r="191" spans="76:77" x14ac:dyDescent="0.25">
      <c r="BX191" s="88"/>
      <c r="BY191" s="90"/>
    </row>
    <row r="192" spans="76:77" x14ac:dyDescent="0.25">
      <c r="BX192" s="88"/>
      <c r="BY192" s="90"/>
    </row>
    <row r="193" spans="76:77" x14ac:dyDescent="0.25">
      <c r="BX193" s="88"/>
      <c r="BY193" s="90"/>
    </row>
    <row r="194" spans="76:77" x14ac:dyDescent="0.25">
      <c r="BX194" s="88"/>
      <c r="BY194" s="90"/>
    </row>
    <row r="195" spans="76:77" x14ac:dyDescent="0.25">
      <c r="BX195" s="88"/>
      <c r="BY195" s="90"/>
    </row>
    <row r="196" spans="76:77" x14ac:dyDescent="0.25">
      <c r="BX196" s="88"/>
      <c r="BY196" s="90"/>
    </row>
    <row r="197" spans="76:77" x14ac:dyDescent="0.25">
      <c r="BX197" s="88"/>
      <c r="BY197" s="90"/>
    </row>
    <row r="198" spans="76:77" x14ac:dyDescent="0.25">
      <c r="BX198" s="88"/>
      <c r="BY198" s="90"/>
    </row>
    <row r="199" spans="76:77" x14ac:dyDescent="0.25">
      <c r="BX199" s="88"/>
      <c r="BY199" s="90"/>
    </row>
    <row r="200" spans="76:77" x14ac:dyDescent="0.25">
      <c r="BX200" s="88"/>
      <c r="BY200" s="90"/>
    </row>
    <row r="201" spans="76:77" x14ac:dyDescent="0.25">
      <c r="BX201" s="88"/>
      <c r="BY201" s="90"/>
    </row>
    <row r="202" spans="76:77" x14ac:dyDescent="0.25">
      <c r="BX202" s="88"/>
      <c r="BY202" s="90"/>
    </row>
    <row r="203" spans="76:77" x14ac:dyDescent="0.25">
      <c r="BX203" s="88"/>
      <c r="BY203" s="90"/>
    </row>
    <row r="204" spans="76:77" x14ac:dyDescent="0.25">
      <c r="BX204" s="88"/>
      <c r="BY204" s="90"/>
    </row>
    <row r="205" spans="76:77" x14ac:dyDescent="0.25">
      <c r="BX205" s="88"/>
      <c r="BY205" s="90"/>
    </row>
    <row r="206" spans="76:77" x14ac:dyDescent="0.25">
      <c r="BX206" s="88"/>
      <c r="BY206" s="90"/>
    </row>
    <row r="207" spans="76:77" x14ac:dyDescent="0.25">
      <c r="BX207" s="88"/>
      <c r="BY207" s="90"/>
    </row>
    <row r="208" spans="76:77" x14ac:dyDescent="0.25">
      <c r="BX208" s="88"/>
      <c r="BY208" s="91"/>
    </row>
    <row r="209" spans="76:77" x14ac:dyDescent="0.25">
      <c r="BX209" s="88"/>
      <c r="BY209" s="89"/>
    </row>
    <row r="210" spans="76:77" x14ac:dyDescent="0.25">
      <c r="BX210" s="88"/>
      <c r="BY210" s="90"/>
    </row>
    <row r="211" spans="76:77" x14ac:dyDescent="0.25">
      <c r="BX211" s="88"/>
      <c r="BY211" s="90"/>
    </row>
    <row r="212" spans="76:77" x14ac:dyDescent="0.25">
      <c r="BX212" s="88"/>
      <c r="BY212" s="90"/>
    </row>
    <row r="213" spans="76:77" x14ac:dyDescent="0.25">
      <c r="BX213" s="88"/>
      <c r="BY213" s="90"/>
    </row>
    <row r="214" spans="76:77" x14ac:dyDescent="0.25">
      <c r="BX214" s="88"/>
      <c r="BY214" s="90"/>
    </row>
    <row r="215" spans="76:77" x14ac:dyDescent="0.25">
      <c r="BX215" s="88"/>
      <c r="BY215" s="90"/>
    </row>
    <row r="216" spans="76:77" x14ac:dyDescent="0.25">
      <c r="BX216" s="88"/>
      <c r="BY216" s="90"/>
    </row>
    <row r="217" spans="76:77" x14ac:dyDescent="0.25">
      <c r="BX217" s="88"/>
      <c r="BY217" s="90"/>
    </row>
    <row r="218" spans="76:77" x14ac:dyDescent="0.25">
      <c r="BX218" s="88"/>
      <c r="BY218" s="90"/>
    </row>
    <row r="219" spans="76:77" x14ac:dyDescent="0.25">
      <c r="BX219" s="88"/>
      <c r="BY219" s="90"/>
    </row>
    <row r="220" spans="76:77" x14ac:dyDescent="0.25">
      <c r="BX220" s="88"/>
      <c r="BY220" s="90"/>
    </row>
    <row r="221" spans="76:77" x14ac:dyDescent="0.25">
      <c r="BX221" s="88"/>
      <c r="BY221" s="90"/>
    </row>
    <row r="222" spans="76:77" x14ac:dyDescent="0.25">
      <c r="BX222" s="88"/>
      <c r="BY222" s="90"/>
    </row>
    <row r="223" spans="76:77" x14ac:dyDescent="0.25">
      <c r="BX223" s="88"/>
      <c r="BY223" s="90"/>
    </row>
    <row r="224" spans="76:77" x14ac:dyDescent="0.25">
      <c r="BX224" s="88"/>
      <c r="BY224" s="90"/>
    </row>
    <row r="225" spans="76:77" x14ac:dyDescent="0.25">
      <c r="BX225" s="88"/>
      <c r="BY225" s="90"/>
    </row>
    <row r="226" spans="76:77" x14ac:dyDescent="0.25">
      <c r="BX226" s="88"/>
      <c r="BY226" s="90"/>
    </row>
    <row r="227" spans="76:77" x14ac:dyDescent="0.25">
      <c r="BX227" s="88"/>
      <c r="BY227" s="90"/>
    </row>
    <row r="228" spans="76:77" x14ac:dyDescent="0.25">
      <c r="BX228" s="88"/>
      <c r="BY228" s="90"/>
    </row>
    <row r="229" spans="76:77" x14ac:dyDescent="0.25">
      <c r="BX229" s="88"/>
      <c r="BY229" s="90"/>
    </row>
    <row r="230" spans="76:77" x14ac:dyDescent="0.25">
      <c r="BX230" s="88"/>
      <c r="BY230" s="90"/>
    </row>
    <row r="231" spans="76:77" x14ac:dyDescent="0.25">
      <c r="BX231" s="88"/>
      <c r="BY231" s="90"/>
    </row>
    <row r="232" spans="76:77" x14ac:dyDescent="0.25">
      <c r="BX232" s="88"/>
      <c r="BY232" s="90"/>
    </row>
    <row r="233" spans="76:77" x14ac:dyDescent="0.25">
      <c r="BX233" s="88"/>
      <c r="BY233" s="90"/>
    </row>
    <row r="234" spans="76:77" x14ac:dyDescent="0.25">
      <c r="BX234" s="88"/>
      <c r="BY234" s="90"/>
    </row>
    <row r="235" spans="76:77" x14ac:dyDescent="0.25">
      <c r="BX235" s="88"/>
      <c r="BY235" s="90"/>
    </row>
    <row r="236" spans="76:77" x14ac:dyDescent="0.25">
      <c r="BX236" s="88"/>
      <c r="BY236" s="90"/>
    </row>
    <row r="237" spans="76:77" x14ac:dyDescent="0.25">
      <c r="BX237" s="88"/>
      <c r="BY237" s="91"/>
    </row>
    <row r="238" spans="76:77" x14ac:dyDescent="0.25">
      <c r="BX238" s="88"/>
      <c r="BY238" s="89"/>
    </row>
    <row r="239" spans="76:77" x14ac:dyDescent="0.25">
      <c r="BX239" s="88"/>
      <c r="BY239" s="90"/>
    </row>
    <row r="240" spans="76:77" x14ac:dyDescent="0.25">
      <c r="BX240" s="88"/>
      <c r="BY240" s="90"/>
    </row>
    <row r="241" spans="76:77" x14ac:dyDescent="0.25">
      <c r="BX241" s="88"/>
      <c r="BY241" s="90"/>
    </row>
    <row r="242" spans="76:77" x14ac:dyDescent="0.25">
      <c r="BX242" s="88"/>
      <c r="BY242" s="90"/>
    </row>
    <row r="243" spans="76:77" x14ac:dyDescent="0.25">
      <c r="BX243" s="88"/>
      <c r="BY243" s="90"/>
    </row>
    <row r="244" spans="76:77" x14ac:dyDescent="0.25">
      <c r="BX244" s="88"/>
      <c r="BY244" s="90"/>
    </row>
    <row r="245" spans="76:77" x14ac:dyDescent="0.25">
      <c r="BX245" s="88"/>
      <c r="BY245" s="90"/>
    </row>
    <row r="246" spans="76:77" x14ac:dyDescent="0.25">
      <c r="BX246" s="88"/>
      <c r="BY246" s="90"/>
    </row>
    <row r="247" spans="76:77" x14ac:dyDescent="0.25">
      <c r="BX247" s="88"/>
      <c r="BY247" s="90"/>
    </row>
    <row r="248" spans="76:77" x14ac:dyDescent="0.25">
      <c r="BX248" s="88"/>
      <c r="BY248" s="90"/>
    </row>
    <row r="249" spans="76:77" x14ac:dyDescent="0.25">
      <c r="BX249" s="88"/>
      <c r="BY249" s="90"/>
    </row>
    <row r="250" spans="76:77" x14ac:dyDescent="0.25">
      <c r="BX250" s="88"/>
      <c r="BY250" s="90"/>
    </row>
    <row r="251" spans="76:77" x14ac:dyDescent="0.25">
      <c r="BX251" s="88"/>
      <c r="BY251" s="90"/>
    </row>
    <row r="252" spans="76:77" x14ac:dyDescent="0.25">
      <c r="BX252" s="88"/>
      <c r="BY252" s="90"/>
    </row>
    <row r="253" spans="76:77" x14ac:dyDescent="0.25">
      <c r="BX253" s="88"/>
      <c r="BY253" s="90"/>
    </row>
    <row r="254" spans="76:77" x14ac:dyDescent="0.25">
      <c r="BX254" s="88"/>
      <c r="BY254" s="90"/>
    </row>
    <row r="255" spans="76:77" x14ac:dyDescent="0.25">
      <c r="BX255" s="88"/>
      <c r="BY255" s="90"/>
    </row>
    <row r="256" spans="76:77" x14ac:dyDescent="0.25">
      <c r="BX256" s="88"/>
      <c r="BY256" s="90"/>
    </row>
    <row r="257" spans="76:77" x14ac:dyDescent="0.25">
      <c r="BX257" s="88"/>
      <c r="BY257" s="90"/>
    </row>
    <row r="258" spans="76:77" x14ac:dyDescent="0.25">
      <c r="BX258" s="88"/>
      <c r="BY258" s="90"/>
    </row>
    <row r="259" spans="76:77" x14ac:dyDescent="0.25">
      <c r="BX259" s="88"/>
      <c r="BY259" s="90"/>
    </row>
    <row r="260" spans="76:77" x14ac:dyDescent="0.25">
      <c r="BX260" s="88"/>
      <c r="BY260" s="90"/>
    </row>
    <row r="261" spans="76:77" x14ac:dyDescent="0.25">
      <c r="BX261" s="88"/>
      <c r="BY261" s="90"/>
    </row>
    <row r="262" spans="76:77" x14ac:dyDescent="0.25">
      <c r="BX262" s="88"/>
      <c r="BY262" s="90"/>
    </row>
    <row r="263" spans="76:77" x14ac:dyDescent="0.25">
      <c r="BX263" s="88"/>
      <c r="BY263" s="90"/>
    </row>
    <row r="264" spans="76:77" x14ac:dyDescent="0.25">
      <c r="BX264" s="88"/>
      <c r="BY264" s="90"/>
    </row>
    <row r="265" spans="76:77" x14ac:dyDescent="0.25">
      <c r="BX265" s="88"/>
      <c r="BY265" s="90"/>
    </row>
    <row r="266" spans="76:77" x14ac:dyDescent="0.25">
      <c r="BX266" s="88"/>
      <c r="BY266" s="91"/>
    </row>
    <row r="267" spans="76:77" x14ac:dyDescent="0.25">
      <c r="BX267" s="88"/>
      <c r="BY267" s="89"/>
    </row>
    <row r="268" spans="76:77" x14ac:dyDescent="0.25">
      <c r="BX268" s="88"/>
      <c r="BY268" s="90"/>
    </row>
    <row r="269" spans="76:77" x14ac:dyDescent="0.25">
      <c r="BX269" s="88"/>
      <c r="BY269" s="90"/>
    </row>
    <row r="270" spans="76:77" x14ac:dyDescent="0.25">
      <c r="BX270" s="88"/>
      <c r="BY270" s="90"/>
    </row>
    <row r="271" spans="76:77" x14ac:dyDescent="0.25">
      <c r="BX271" s="88"/>
      <c r="BY271" s="90"/>
    </row>
    <row r="272" spans="76:77" x14ac:dyDescent="0.25">
      <c r="BX272" s="88"/>
      <c r="BY272" s="90"/>
    </row>
    <row r="273" spans="76:77" x14ac:dyDescent="0.25">
      <c r="BX273" s="88"/>
      <c r="BY273" s="90"/>
    </row>
    <row r="274" spans="76:77" x14ac:dyDescent="0.25">
      <c r="BX274" s="88"/>
      <c r="BY274" s="90"/>
    </row>
    <row r="275" spans="76:77" x14ac:dyDescent="0.25">
      <c r="BX275" s="88"/>
      <c r="BY275" s="90"/>
    </row>
    <row r="276" spans="76:77" x14ac:dyDescent="0.25">
      <c r="BX276" s="88"/>
      <c r="BY276" s="90"/>
    </row>
    <row r="277" spans="76:77" x14ac:dyDescent="0.25">
      <c r="BX277" s="88"/>
      <c r="BY277" s="90"/>
    </row>
    <row r="278" spans="76:77" x14ac:dyDescent="0.25">
      <c r="BX278" s="88"/>
      <c r="BY278" s="90"/>
    </row>
    <row r="279" spans="76:77" x14ac:dyDescent="0.25">
      <c r="BX279" s="88"/>
      <c r="BY279" s="90"/>
    </row>
    <row r="280" spans="76:77" x14ac:dyDescent="0.25">
      <c r="BX280" s="88"/>
      <c r="BY280" s="90"/>
    </row>
    <row r="281" spans="76:77" x14ac:dyDescent="0.25">
      <c r="BX281" s="88"/>
      <c r="BY281" s="90"/>
    </row>
    <row r="282" spans="76:77" x14ac:dyDescent="0.25">
      <c r="BX282" s="88"/>
      <c r="BY282" s="90"/>
    </row>
    <row r="283" spans="76:77" x14ac:dyDescent="0.25">
      <c r="BX283" s="88"/>
      <c r="BY283" s="90"/>
    </row>
    <row r="284" spans="76:77" x14ac:dyDescent="0.25">
      <c r="BX284" s="88"/>
      <c r="BY284" s="90"/>
    </row>
    <row r="285" spans="76:77" x14ac:dyDescent="0.25">
      <c r="BX285" s="88"/>
      <c r="BY285" s="90"/>
    </row>
    <row r="286" spans="76:77" x14ac:dyDescent="0.25">
      <c r="BX286" s="88"/>
      <c r="BY286" s="90"/>
    </row>
    <row r="287" spans="76:77" x14ac:dyDescent="0.25">
      <c r="BX287" s="88"/>
      <c r="BY287" s="90"/>
    </row>
    <row r="288" spans="76:77" x14ac:dyDescent="0.25">
      <c r="BX288" s="88"/>
      <c r="BY288" s="90"/>
    </row>
    <row r="289" spans="76:77" x14ac:dyDescent="0.25">
      <c r="BX289" s="88"/>
      <c r="BY289" s="90"/>
    </row>
    <row r="290" spans="76:77" x14ac:dyDescent="0.25">
      <c r="BX290" s="88"/>
      <c r="BY290" s="90"/>
    </row>
    <row r="291" spans="76:77" x14ac:dyDescent="0.25">
      <c r="BX291" s="88"/>
      <c r="BY291" s="90"/>
    </row>
    <row r="292" spans="76:77" x14ac:dyDescent="0.25">
      <c r="BX292" s="88"/>
      <c r="BY292" s="90"/>
    </row>
    <row r="293" spans="76:77" x14ac:dyDescent="0.25">
      <c r="BX293" s="88"/>
      <c r="BY293" s="90"/>
    </row>
    <row r="294" spans="76:77" x14ac:dyDescent="0.25">
      <c r="BX294" s="88"/>
      <c r="BY294" s="90"/>
    </row>
    <row r="295" spans="76:77" x14ac:dyDescent="0.25">
      <c r="BX295" s="88"/>
      <c r="BY295" s="91"/>
    </row>
    <row r="296" spans="76:77" x14ac:dyDescent="0.25">
      <c r="BX296" s="88"/>
      <c r="BY296" s="89"/>
    </row>
    <row r="297" spans="76:77" x14ac:dyDescent="0.25">
      <c r="BX297" s="88"/>
      <c r="BY297" s="90"/>
    </row>
    <row r="298" spans="76:77" x14ac:dyDescent="0.25">
      <c r="BX298" s="88"/>
      <c r="BY298" s="90"/>
    </row>
    <row r="299" spans="76:77" x14ac:dyDescent="0.25">
      <c r="BX299" s="88"/>
      <c r="BY299" s="90"/>
    </row>
    <row r="300" spans="76:77" x14ac:dyDescent="0.25">
      <c r="BX300" s="88"/>
      <c r="BY300" s="90"/>
    </row>
    <row r="301" spans="76:77" x14ac:dyDescent="0.25">
      <c r="BX301" s="88"/>
      <c r="BY301" s="90"/>
    </row>
    <row r="302" spans="76:77" x14ac:dyDescent="0.25">
      <c r="BX302" s="88"/>
      <c r="BY302" s="90"/>
    </row>
    <row r="303" spans="76:77" x14ac:dyDescent="0.25">
      <c r="BX303" s="88"/>
      <c r="BY303" s="90"/>
    </row>
    <row r="304" spans="76:77" x14ac:dyDescent="0.25">
      <c r="BX304" s="88"/>
      <c r="BY304" s="90"/>
    </row>
    <row r="305" spans="76:77" x14ac:dyDescent="0.25">
      <c r="BX305" s="88"/>
      <c r="BY305" s="90"/>
    </row>
    <row r="306" spans="76:77" x14ac:dyDescent="0.25">
      <c r="BX306" s="88"/>
      <c r="BY306" s="90"/>
    </row>
    <row r="307" spans="76:77" x14ac:dyDescent="0.25">
      <c r="BX307" s="88"/>
      <c r="BY307" s="90"/>
    </row>
    <row r="308" spans="76:77" x14ac:dyDescent="0.25">
      <c r="BX308" s="88"/>
      <c r="BY308" s="90"/>
    </row>
    <row r="309" spans="76:77" x14ac:dyDescent="0.25">
      <c r="BX309" s="88"/>
      <c r="BY309" s="90"/>
    </row>
    <row r="310" spans="76:77" x14ac:dyDescent="0.25">
      <c r="BX310" s="88"/>
      <c r="BY310" s="90"/>
    </row>
    <row r="311" spans="76:77" x14ac:dyDescent="0.25">
      <c r="BX311" s="88"/>
      <c r="BY311" s="90"/>
    </row>
    <row r="312" spans="76:77" x14ac:dyDescent="0.25">
      <c r="BX312" s="88"/>
      <c r="BY312" s="90"/>
    </row>
    <row r="313" spans="76:77" x14ac:dyDescent="0.25">
      <c r="BX313" s="88"/>
      <c r="BY313" s="90"/>
    </row>
    <row r="314" spans="76:77" x14ac:dyDescent="0.25">
      <c r="BX314" s="88"/>
      <c r="BY314" s="90"/>
    </row>
    <row r="315" spans="76:77" x14ac:dyDescent="0.25">
      <c r="BX315" s="88"/>
      <c r="BY315" s="90"/>
    </row>
    <row r="316" spans="76:77" x14ac:dyDescent="0.25">
      <c r="BX316" s="88"/>
      <c r="BY316" s="90"/>
    </row>
    <row r="317" spans="76:77" x14ac:dyDescent="0.25">
      <c r="BX317" s="88"/>
      <c r="BY317" s="90"/>
    </row>
    <row r="318" spans="76:77" x14ac:dyDescent="0.25">
      <c r="BX318" s="88"/>
      <c r="BY318" s="90"/>
    </row>
    <row r="319" spans="76:77" x14ac:dyDescent="0.25">
      <c r="BX319" s="88"/>
      <c r="BY319" s="90"/>
    </row>
    <row r="320" spans="76:77" x14ac:dyDescent="0.25">
      <c r="BX320" s="88"/>
      <c r="BY320" s="90"/>
    </row>
    <row r="321" spans="76:77" x14ac:dyDescent="0.25">
      <c r="BX321" s="88"/>
      <c r="BY321" s="90"/>
    </row>
    <row r="322" spans="76:77" x14ac:dyDescent="0.25">
      <c r="BX322" s="88"/>
      <c r="BY322" s="90"/>
    </row>
    <row r="323" spans="76:77" x14ac:dyDescent="0.25">
      <c r="BX323" s="88"/>
      <c r="BY323" s="90"/>
    </row>
    <row r="324" spans="76:77" x14ac:dyDescent="0.25">
      <c r="BX324" s="88"/>
      <c r="BY324" s="91"/>
    </row>
    <row r="325" spans="76:77" x14ac:dyDescent="0.25">
      <c r="BX325" s="88"/>
      <c r="BY325" s="89"/>
    </row>
    <row r="326" spans="76:77" x14ac:dyDescent="0.25">
      <c r="BX326" s="88"/>
      <c r="BY326" s="90"/>
    </row>
    <row r="327" spans="76:77" x14ac:dyDescent="0.25">
      <c r="BX327" s="88"/>
      <c r="BY327" s="90"/>
    </row>
    <row r="328" spans="76:77" x14ac:dyDescent="0.25">
      <c r="BX328" s="88"/>
      <c r="BY328" s="90"/>
    </row>
    <row r="329" spans="76:77" x14ac:dyDescent="0.25">
      <c r="BX329" s="88"/>
      <c r="BY329" s="90"/>
    </row>
    <row r="330" spans="76:77" x14ac:dyDescent="0.25">
      <c r="BX330" s="88"/>
      <c r="BY330" s="90"/>
    </row>
    <row r="331" spans="76:77" x14ac:dyDescent="0.25">
      <c r="BX331" s="88"/>
      <c r="BY331" s="90"/>
    </row>
    <row r="332" spans="76:77" x14ac:dyDescent="0.25">
      <c r="BX332" s="88"/>
      <c r="BY332" s="90"/>
    </row>
    <row r="333" spans="76:77" x14ac:dyDescent="0.25">
      <c r="BX333" s="88"/>
      <c r="BY333" s="90"/>
    </row>
    <row r="334" spans="76:77" x14ac:dyDescent="0.25">
      <c r="BX334" s="88"/>
      <c r="BY334" s="90"/>
    </row>
    <row r="335" spans="76:77" x14ac:dyDescent="0.25">
      <c r="BX335" s="88"/>
      <c r="BY335" s="90"/>
    </row>
    <row r="336" spans="76:77" x14ac:dyDescent="0.25">
      <c r="BX336" s="88"/>
      <c r="BY336" s="90"/>
    </row>
    <row r="337" spans="76:77" x14ac:dyDescent="0.25">
      <c r="BX337" s="88"/>
      <c r="BY337" s="90"/>
    </row>
    <row r="338" spans="76:77" x14ac:dyDescent="0.25">
      <c r="BX338" s="88"/>
      <c r="BY338" s="90"/>
    </row>
    <row r="339" spans="76:77" x14ac:dyDescent="0.25">
      <c r="BX339" s="88"/>
      <c r="BY339" s="90"/>
    </row>
    <row r="340" spans="76:77" x14ac:dyDescent="0.25">
      <c r="BX340" s="88"/>
      <c r="BY340" s="90"/>
    </row>
    <row r="341" spans="76:77" x14ac:dyDescent="0.25">
      <c r="BX341" s="88"/>
      <c r="BY341" s="90"/>
    </row>
    <row r="342" spans="76:77" x14ac:dyDescent="0.25">
      <c r="BX342" s="88"/>
      <c r="BY342" s="90"/>
    </row>
    <row r="343" spans="76:77" x14ac:dyDescent="0.25">
      <c r="BX343" s="88"/>
      <c r="BY343" s="90"/>
    </row>
    <row r="344" spans="76:77" x14ac:dyDescent="0.25">
      <c r="BX344" s="88"/>
      <c r="BY344" s="90"/>
    </row>
    <row r="345" spans="76:77" x14ac:dyDescent="0.25">
      <c r="BX345" s="88"/>
      <c r="BY345" s="90"/>
    </row>
    <row r="346" spans="76:77" x14ac:dyDescent="0.25">
      <c r="BX346" s="88"/>
      <c r="BY346" s="90"/>
    </row>
    <row r="347" spans="76:77" x14ac:dyDescent="0.25">
      <c r="BX347" s="88"/>
      <c r="BY347" s="90"/>
    </row>
    <row r="348" spans="76:77" x14ac:dyDescent="0.25">
      <c r="BX348" s="88"/>
      <c r="BY348" s="90"/>
    </row>
    <row r="349" spans="76:77" x14ac:dyDescent="0.25">
      <c r="BX349" s="88"/>
      <c r="BY349" s="90"/>
    </row>
    <row r="350" spans="76:77" x14ac:dyDescent="0.25">
      <c r="BX350" s="88"/>
      <c r="BY350" s="90"/>
    </row>
    <row r="351" spans="76:77" x14ac:dyDescent="0.25">
      <c r="BX351" s="88"/>
      <c r="BY351" s="90"/>
    </row>
    <row r="352" spans="76:77" x14ac:dyDescent="0.25">
      <c r="BX352" s="88"/>
      <c r="BY352" s="90"/>
    </row>
    <row r="353" spans="76:77" x14ac:dyDescent="0.25">
      <c r="BX353" s="88"/>
      <c r="BY353" s="91"/>
    </row>
    <row r="354" spans="76:77" x14ac:dyDescent="0.25">
      <c r="BX354" s="88"/>
      <c r="BY354" s="89"/>
    </row>
    <row r="355" spans="76:77" x14ac:dyDescent="0.25">
      <c r="BX355" s="88"/>
      <c r="BY355" s="90"/>
    </row>
    <row r="356" spans="76:77" x14ac:dyDescent="0.25">
      <c r="BX356" s="88"/>
      <c r="BY356" s="90"/>
    </row>
    <row r="357" spans="76:77" x14ac:dyDescent="0.25">
      <c r="BX357" s="88"/>
      <c r="BY357" s="90"/>
    </row>
    <row r="358" spans="76:77" x14ac:dyDescent="0.25">
      <c r="BX358" s="88"/>
      <c r="BY358" s="90"/>
    </row>
    <row r="359" spans="76:77" x14ac:dyDescent="0.25">
      <c r="BX359" s="88"/>
      <c r="BY359" s="90"/>
    </row>
    <row r="360" spans="76:77" x14ac:dyDescent="0.25">
      <c r="BX360" s="88"/>
      <c r="BY360" s="90"/>
    </row>
    <row r="361" spans="76:77" x14ac:dyDescent="0.25">
      <c r="BX361" s="88"/>
      <c r="BY361" s="90"/>
    </row>
    <row r="362" spans="76:77" x14ac:dyDescent="0.25">
      <c r="BX362" s="88"/>
      <c r="BY362" s="90"/>
    </row>
    <row r="363" spans="76:77" x14ac:dyDescent="0.25">
      <c r="BX363" s="88"/>
      <c r="BY363" s="90"/>
    </row>
    <row r="364" spans="76:77" x14ac:dyDescent="0.25">
      <c r="BX364" s="88"/>
      <c r="BY364" s="90"/>
    </row>
    <row r="365" spans="76:77" x14ac:dyDescent="0.25">
      <c r="BX365" s="88"/>
      <c r="BY365" s="90"/>
    </row>
    <row r="366" spans="76:77" x14ac:dyDescent="0.25">
      <c r="BX366" s="88"/>
      <c r="BY366" s="90"/>
    </row>
    <row r="367" spans="76:77" x14ac:dyDescent="0.25">
      <c r="BX367" s="88"/>
      <c r="BY367" s="90"/>
    </row>
    <row r="368" spans="76:77" x14ac:dyDescent="0.25">
      <c r="BX368" s="88"/>
      <c r="BY368" s="90"/>
    </row>
    <row r="369" spans="76:77" x14ac:dyDescent="0.25">
      <c r="BX369" s="88"/>
      <c r="BY369" s="90"/>
    </row>
    <row r="370" spans="76:77" x14ac:dyDescent="0.25">
      <c r="BX370" s="88"/>
      <c r="BY370" s="90"/>
    </row>
    <row r="371" spans="76:77" x14ac:dyDescent="0.25">
      <c r="BX371" s="88"/>
      <c r="BY371" s="90"/>
    </row>
    <row r="372" spans="76:77" x14ac:dyDescent="0.25">
      <c r="BX372" s="88"/>
      <c r="BY372" s="90"/>
    </row>
    <row r="373" spans="76:77" x14ac:dyDescent="0.25">
      <c r="BX373" s="88"/>
      <c r="BY373" s="90"/>
    </row>
    <row r="374" spans="76:77" x14ac:dyDescent="0.25">
      <c r="BX374" s="88"/>
      <c r="BY374" s="90"/>
    </row>
    <row r="375" spans="76:77" x14ac:dyDescent="0.25">
      <c r="BX375" s="88"/>
      <c r="BY375" s="90"/>
    </row>
    <row r="376" spans="76:77" x14ac:dyDescent="0.25">
      <c r="BX376" s="88"/>
      <c r="BY376" s="90"/>
    </row>
    <row r="377" spans="76:77" x14ac:dyDescent="0.25">
      <c r="BX377" s="88"/>
      <c r="BY377" s="90"/>
    </row>
    <row r="378" spans="76:77" x14ac:dyDescent="0.25">
      <c r="BX378" s="88"/>
      <c r="BY378" s="90"/>
    </row>
    <row r="379" spans="76:77" x14ac:dyDescent="0.25">
      <c r="BX379" s="88"/>
      <c r="BY379" s="90"/>
    </row>
    <row r="380" spans="76:77" x14ac:dyDescent="0.25">
      <c r="BX380" s="88"/>
      <c r="BY380" s="90"/>
    </row>
    <row r="381" spans="76:77" x14ac:dyDescent="0.25">
      <c r="BX381" s="88"/>
      <c r="BY381" s="90"/>
    </row>
    <row r="382" spans="76:77" x14ac:dyDescent="0.25">
      <c r="BX382" s="88"/>
      <c r="BY382" s="91"/>
    </row>
    <row r="383" spans="76:77" x14ac:dyDescent="0.25">
      <c r="BX383" s="88"/>
      <c r="BY383" s="89"/>
    </row>
    <row r="384" spans="76:77" x14ac:dyDescent="0.25">
      <c r="BX384" s="88"/>
      <c r="BY384" s="90"/>
    </row>
    <row r="385" spans="76:77" x14ac:dyDescent="0.25">
      <c r="BX385" s="88"/>
      <c r="BY385" s="90"/>
    </row>
    <row r="386" spans="76:77" x14ac:dyDescent="0.25">
      <c r="BX386" s="88"/>
      <c r="BY386" s="90"/>
    </row>
    <row r="387" spans="76:77" x14ac:dyDescent="0.25">
      <c r="BX387" s="88"/>
      <c r="BY387" s="90"/>
    </row>
    <row r="388" spans="76:77" x14ac:dyDescent="0.25">
      <c r="BX388" s="88"/>
      <c r="BY388" s="90"/>
    </row>
    <row r="389" spans="76:77" x14ac:dyDescent="0.25">
      <c r="BX389" s="88"/>
      <c r="BY389" s="90"/>
    </row>
    <row r="390" spans="76:77" x14ac:dyDescent="0.25">
      <c r="BX390" s="88"/>
      <c r="BY390" s="90"/>
    </row>
    <row r="391" spans="76:77" x14ac:dyDescent="0.25">
      <c r="BX391" s="88"/>
      <c r="BY391" s="90"/>
    </row>
    <row r="392" spans="76:77" x14ac:dyDescent="0.25">
      <c r="BX392" s="88"/>
      <c r="BY392" s="90"/>
    </row>
    <row r="393" spans="76:77" x14ac:dyDescent="0.25">
      <c r="BX393" s="88"/>
      <c r="BY393" s="90"/>
    </row>
    <row r="394" spans="76:77" x14ac:dyDescent="0.25">
      <c r="BX394" s="88"/>
      <c r="BY394" s="90"/>
    </row>
    <row r="395" spans="76:77" x14ac:dyDescent="0.25">
      <c r="BX395" s="88"/>
      <c r="BY395" s="90"/>
    </row>
    <row r="396" spans="76:77" x14ac:dyDescent="0.25">
      <c r="BX396" s="88"/>
      <c r="BY396" s="90"/>
    </row>
    <row r="397" spans="76:77" x14ac:dyDescent="0.25">
      <c r="BX397" s="88"/>
      <c r="BY397" s="90"/>
    </row>
    <row r="398" spans="76:77" x14ac:dyDescent="0.25">
      <c r="BX398" s="88"/>
      <c r="BY398" s="90"/>
    </row>
    <row r="399" spans="76:77" x14ac:dyDescent="0.25">
      <c r="BX399" s="88"/>
      <c r="BY399" s="90"/>
    </row>
    <row r="400" spans="76:77" x14ac:dyDescent="0.25">
      <c r="BX400" s="88"/>
      <c r="BY400" s="90"/>
    </row>
    <row r="401" spans="76:77" x14ac:dyDescent="0.25">
      <c r="BX401" s="88"/>
      <c r="BY401" s="90"/>
    </row>
    <row r="402" spans="76:77" x14ac:dyDescent="0.25">
      <c r="BX402" s="88"/>
      <c r="BY402" s="90"/>
    </row>
    <row r="403" spans="76:77" x14ac:dyDescent="0.25">
      <c r="BX403" s="88"/>
      <c r="BY403" s="90"/>
    </row>
    <row r="404" spans="76:77" x14ac:dyDescent="0.25">
      <c r="BX404" s="88"/>
      <c r="BY404" s="90"/>
    </row>
    <row r="405" spans="76:77" x14ac:dyDescent="0.25">
      <c r="BX405" s="88"/>
      <c r="BY405" s="90"/>
    </row>
    <row r="406" spans="76:77" x14ac:dyDescent="0.25">
      <c r="BX406" s="88"/>
      <c r="BY406" s="90"/>
    </row>
    <row r="407" spans="76:77" x14ac:dyDescent="0.25">
      <c r="BX407" s="88"/>
      <c r="BY407" s="90"/>
    </row>
    <row r="408" spans="76:77" x14ac:dyDescent="0.25">
      <c r="BX408" s="88"/>
      <c r="BY408" s="90"/>
    </row>
    <row r="409" spans="76:77" x14ac:dyDescent="0.25">
      <c r="BX409" s="88"/>
      <c r="BY409" s="90"/>
    </row>
    <row r="410" spans="76:77" x14ac:dyDescent="0.25">
      <c r="BX410" s="88"/>
      <c r="BY410" s="90"/>
    </row>
    <row r="411" spans="76:77" x14ac:dyDescent="0.25">
      <c r="BX411" s="88"/>
      <c r="BY411" s="91"/>
    </row>
    <row r="412" spans="76:77" x14ac:dyDescent="0.25">
      <c r="BX412" s="88"/>
      <c r="BY412" s="89"/>
    </row>
    <row r="413" spans="76:77" x14ac:dyDescent="0.25">
      <c r="BX413" s="88"/>
      <c r="BY413" s="90"/>
    </row>
    <row r="414" spans="76:77" x14ac:dyDescent="0.25">
      <c r="BX414" s="88"/>
      <c r="BY414" s="90"/>
    </row>
    <row r="415" spans="76:77" x14ac:dyDescent="0.25">
      <c r="BX415" s="88"/>
      <c r="BY415" s="90"/>
    </row>
    <row r="416" spans="76:77" x14ac:dyDescent="0.25">
      <c r="BX416" s="88"/>
      <c r="BY416" s="90"/>
    </row>
    <row r="417" spans="76:77" x14ac:dyDescent="0.25">
      <c r="BX417" s="88"/>
      <c r="BY417" s="90"/>
    </row>
    <row r="418" spans="76:77" x14ac:dyDescent="0.25">
      <c r="BX418" s="88"/>
      <c r="BY418" s="90"/>
    </row>
    <row r="419" spans="76:77" x14ac:dyDescent="0.25">
      <c r="BX419" s="88"/>
      <c r="BY419" s="90"/>
    </row>
    <row r="420" spans="76:77" x14ac:dyDescent="0.25">
      <c r="BX420" s="88"/>
      <c r="BY420" s="90"/>
    </row>
    <row r="421" spans="76:77" x14ac:dyDescent="0.25">
      <c r="BX421" s="88"/>
      <c r="BY421" s="90"/>
    </row>
    <row r="422" spans="76:77" x14ac:dyDescent="0.25">
      <c r="BX422" s="88"/>
      <c r="BY422" s="90"/>
    </row>
    <row r="423" spans="76:77" x14ac:dyDescent="0.25">
      <c r="BX423" s="88"/>
      <c r="BY423" s="90"/>
    </row>
    <row r="424" spans="76:77" x14ac:dyDescent="0.25">
      <c r="BX424" s="88"/>
      <c r="BY424" s="90"/>
    </row>
    <row r="425" spans="76:77" x14ac:dyDescent="0.25">
      <c r="BX425" s="88"/>
      <c r="BY425" s="90"/>
    </row>
    <row r="426" spans="76:77" x14ac:dyDescent="0.25">
      <c r="BX426" s="88"/>
      <c r="BY426" s="90"/>
    </row>
    <row r="427" spans="76:77" x14ac:dyDescent="0.25">
      <c r="BX427" s="88"/>
      <c r="BY427" s="90"/>
    </row>
    <row r="428" spans="76:77" x14ac:dyDescent="0.25">
      <c r="BX428" s="88"/>
      <c r="BY428" s="90"/>
    </row>
    <row r="429" spans="76:77" x14ac:dyDescent="0.25">
      <c r="BX429" s="88"/>
      <c r="BY429" s="90"/>
    </row>
    <row r="430" spans="76:77" x14ac:dyDescent="0.25">
      <c r="BX430" s="88"/>
      <c r="BY430" s="90"/>
    </row>
    <row r="431" spans="76:77" x14ac:dyDescent="0.25">
      <c r="BX431" s="88"/>
      <c r="BY431" s="90"/>
    </row>
    <row r="432" spans="76:77" x14ac:dyDescent="0.25">
      <c r="BX432" s="88"/>
      <c r="BY432" s="90"/>
    </row>
    <row r="433" spans="76:77" x14ac:dyDescent="0.25">
      <c r="BX433" s="88"/>
      <c r="BY433" s="90"/>
    </row>
    <row r="434" spans="76:77" x14ac:dyDescent="0.25">
      <c r="BX434" s="88"/>
      <c r="BY434" s="90"/>
    </row>
    <row r="435" spans="76:77" x14ac:dyDescent="0.25">
      <c r="BX435" s="88"/>
      <c r="BY435" s="90"/>
    </row>
    <row r="436" spans="76:77" x14ac:dyDescent="0.25">
      <c r="BX436" s="88"/>
      <c r="BY436" s="90"/>
    </row>
    <row r="437" spans="76:77" x14ac:dyDescent="0.25">
      <c r="BX437" s="88"/>
      <c r="BY437" s="90"/>
    </row>
    <row r="438" spans="76:77" x14ac:dyDescent="0.25">
      <c r="BX438" s="88"/>
      <c r="BY438" s="90"/>
    </row>
    <row r="439" spans="76:77" x14ac:dyDescent="0.25">
      <c r="BX439" s="88"/>
      <c r="BY439" s="90"/>
    </row>
    <row r="440" spans="76:77" x14ac:dyDescent="0.25">
      <c r="BX440" s="88"/>
      <c r="BY440" s="91"/>
    </row>
    <row r="441" spans="76:77" x14ac:dyDescent="0.25">
      <c r="BX441" s="88"/>
      <c r="BY441" s="89"/>
    </row>
    <row r="442" spans="76:77" x14ac:dyDescent="0.25">
      <c r="BX442" s="88"/>
      <c r="BY442" s="90"/>
    </row>
    <row r="443" spans="76:77" x14ac:dyDescent="0.25">
      <c r="BX443" s="88"/>
      <c r="BY443" s="90"/>
    </row>
    <row r="444" spans="76:77" x14ac:dyDescent="0.25">
      <c r="BX444" s="88"/>
      <c r="BY444" s="90"/>
    </row>
    <row r="445" spans="76:77" x14ac:dyDescent="0.25">
      <c r="BX445" s="88"/>
      <c r="BY445" s="90"/>
    </row>
    <row r="446" spans="76:77" x14ac:dyDescent="0.25">
      <c r="BX446" s="88"/>
      <c r="BY446" s="90"/>
    </row>
    <row r="447" spans="76:77" x14ac:dyDescent="0.25">
      <c r="BX447" s="88"/>
      <c r="BY447" s="90"/>
    </row>
    <row r="448" spans="76:77" x14ac:dyDescent="0.25">
      <c r="BX448" s="88"/>
      <c r="BY448" s="90"/>
    </row>
    <row r="449" spans="76:77" x14ac:dyDescent="0.25">
      <c r="BX449" s="88"/>
      <c r="BY449" s="90"/>
    </row>
    <row r="450" spans="76:77" x14ac:dyDescent="0.25">
      <c r="BX450" s="88"/>
      <c r="BY450" s="90"/>
    </row>
    <row r="451" spans="76:77" x14ac:dyDescent="0.25">
      <c r="BX451" s="88"/>
      <c r="BY451" s="90"/>
    </row>
    <row r="452" spans="76:77" x14ac:dyDescent="0.25">
      <c r="BX452" s="88"/>
      <c r="BY452" s="90"/>
    </row>
    <row r="453" spans="76:77" x14ac:dyDescent="0.25">
      <c r="BX453" s="88"/>
      <c r="BY453" s="90"/>
    </row>
    <row r="454" spans="76:77" x14ac:dyDescent="0.25">
      <c r="BX454" s="88"/>
      <c r="BY454" s="90"/>
    </row>
    <row r="455" spans="76:77" x14ac:dyDescent="0.25">
      <c r="BX455" s="88"/>
      <c r="BY455" s="90"/>
    </row>
    <row r="456" spans="76:77" x14ac:dyDescent="0.25">
      <c r="BX456" s="88"/>
      <c r="BY456" s="90"/>
    </row>
    <row r="457" spans="76:77" x14ac:dyDescent="0.25">
      <c r="BX457" s="88"/>
      <c r="BY457" s="90"/>
    </row>
    <row r="458" spans="76:77" x14ac:dyDescent="0.25">
      <c r="BX458" s="88"/>
      <c r="BY458" s="90"/>
    </row>
    <row r="459" spans="76:77" x14ac:dyDescent="0.25">
      <c r="BX459" s="88"/>
      <c r="BY459" s="90"/>
    </row>
    <row r="460" spans="76:77" x14ac:dyDescent="0.25">
      <c r="BX460" s="88"/>
      <c r="BY460" s="90"/>
    </row>
    <row r="461" spans="76:77" x14ac:dyDescent="0.25">
      <c r="BX461" s="88"/>
      <c r="BY461" s="90"/>
    </row>
    <row r="462" spans="76:77" x14ac:dyDescent="0.25">
      <c r="BX462" s="88"/>
      <c r="BY462" s="90"/>
    </row>
    <row r="463" spans="76:77" x14ac:dyDescent="0.25">
      <c r="BX463" s="88"/>
      <c r="BY463" s="90"/>
    </row>
    <row r="464" spans="76:77" x14ac:dyDescent="0.25">
      <c r="BX464" s="88"/>
      <c r="BY464" s="90"/>
    </row>
    <row r="465" spans="76:77" x14ac:dyDescent="0.25">
      <c r="BX465" s="88"/>
      <c r="BY465" s="90"/>
    </row>
    <row r="466" spans="76:77" x14ac:dyDescent="0.25">
      <c r="BX466" s="88"/>
      <c r="BY466" s="90"/>
    </row>
    <row r="467" spans="76:77" x14ac:dyDescent="0.25">
      <c r="BX467" s="88"/>
      <c r="BY467" s="90"/>
    </row>
    <row r="468" spans="76:77" x14ac:dyDescent="0.25">
      <c r="BX468" s="88"/>
      <c r="BY468" s="90"/>
    </row>
    <row r="469" spans="76:77" x14ac:dyDescent="0.25">
      <c r="BX469" s="88"/>
      <c r="BY469" s="91"/>
    </row>
    <row r="470" spans="76:77" x14ac:dyDescent="0.25">
      <c r="BX470" s="88"/>
      <c r="BY470" s="89"/>
    </row>
    <row r="471" spans="76:77" x14ac:dyDescent="0.25">
      <c r="BX471" s="88"/>
      <c r="BY471" s="90"/>
    </row>
    <row r="472" spans="76:77" x14ac:dyDescent="0.25">
      <c r="BX472" s="88"/>
      <c r="BY472" s="90"/>
    </row>
    <row r="473" spans="76:77" x14ac:dyDescent="0.25">
      <c r="BX473" s="88"/>
      <c r="BY473" s="90"/>
    </row>
    <row r="474" spans="76:77" x14ac:dyDescent="0.25">
      <c r="BX474" s="88"/>
      <c r="BY474" s="90"/>
    </row>
    <row r="475" spans="76:77" x14ac:dyDescent="0.25">
      <c r="BX475" s="88"/>
      <c r="BY475" s="90"/>
    </row>
    <row r="476" spans="76:77" x14ac:dyDescent="0.25">
      <c r="BX476" s="88"/>
      <c r="BY476" s="90"/>
    </row>
    <row r="477" spans="76:77" x14ac:dyDescent="0.25">
      <c r="BX477" s="88"/>
      <c r="BY477" s="90"/>
    </row>
    <row r="478" spans="76:77" x14ac:dyDescent="0.25">
      <c r="BX478" s="88"/>
      <c r="BY478" s="90"/>
    </row>
    <row r="479" spans="76:77" x14ac:dyDescent="0.25">
      <c r="BX479" s="88"/>
      <c r="BY479" s="90"/>
    </row>
    <row r="480" spans="76:77" x14ac:dyDescent="0.25">
      <c r="BX480" s="88"/>
      <c r="BY480" s="90"/>
    </row>
    <row r="481" spans="76:77" x14ac:dyDescent="0.25">
      <c r="BX481" s="88"/>
      <c r="BY481" s="90"/>
    </row>
    <row r="482" spans="76:77" x14ac:dyDescent="0.25">
      <c r="BX482" s="88"/>
      <c r="BY482" s="90"/>
    </row>
    <row r="483" spans="76:77" x14ac:dyDescent="0.25">
      <c r="BX483" s="88"/>
      <c r="BY483" s="90"/>
    </row>
    <row r="484" spans="76:77" x14ac:dyDescent="0.25">
      <c r="BX484" s="88"/>
      <c r="BY484" s="90"/>
    </row>
    <row r="485" spans="76:77" x14ac:dyDescent="0.25">
      <c r="BX485" s="88"/>
      <c r="BY485" s="90"/>
    </row>
    <row r="486" spans="76:77" x14ac:dyDescent="0.25">
      <c r="BX486" s="88"/>
      <c r="BY486" s="90"/>
    </row>
    <row r="487" spans="76:77" x14ac:dyDescent="0.25">
      <c r="BX487" s="88"/>
      <c r="BY487" s="90"/>
    </row>
    <row r="488" spans="76:77" x14ac:dyDescent="0.25">
      <c r="BX488" s="88"/>
      <c r="BY488" s="90"/>
    </row>
    <row r="489" spans="76:77" x14ac:dyDescent="0.25">
      <c r="BX489" s="88"/>
      <c r="BY489" s="90"/>
    </row>
    <row r="490" spans="76:77" x14ac:dyDescent="0.25">
      <c r="BX490" s="88"/>
      <c r="BY490" s="90"/>
    </row>
    <row r="491" spans="76:77" x14ac:dyDescent="0.25">
      <c r="BX491" s="88"/>
      <c r="BY491" s="90"/>
    </row>
    <row r="492" spans="76:77" x14ac:dyDescent="0.25">
      <c r="BX492" s="88"/>
      <c r="BY492" s="90"/>
    </row>
    <row r="493" spans="76:77" x14ac:dyDescent="0.25">
      <c r="BX493" s="88"/>
      <c r="BY493" s="90"/>
    </row>
    <row r="494" spans="76:77" x14ac:dyDescent="0.25">
      <c r="BX494" s="88"/>
      <c r="BY494" s="90"/>
    </row>
    <row r="495" spans="76:77" x14ac:dyDescent="0.25">
      <c r="BX495" s="88"/>
      <c r="BY495" s="90"/>
    </row>
    <row r="496" spans="76:77" x14ac:dyDescent="0.25">
      <c r="BX496" s="88"/>
      <c r="BY496" s="90"/>
    </row>
    <row r="497" spans="76:77" x14ac:dyDescent="0.25">
      <c r="BX497" s="88"/>
      <c r="BY497" s="90"/>
    </row>
    <row r="498" spans="76:77" x14ac:dyDescent="0.25">
      <c r="BX498" s="88"/>
      <c r="BY498" s="91"/>
    </row>
    <row r="499" spans="76:77" x14ac:dyDescent="0.25">
      <c r="BX499" s="88"/>
      <c r="BY499" s="89"/>
    </row>
    <row r="500" spans="76:77" x14ac:dyDescent="0.25">
      <c r="BX500" s="88"/>
      <c r="BY500" s="90"/>
    </row>
    <row r="501" spans="76:77" x14ac:dyDescent="0.25">
      <c r="BX501" s="88"/>
      <c r="BY501" s="90"/>
    </row>
    <row r="502" spans="76:77" x14ac:dyDescent="0.25">
      <c r="BX502" s="88"/>
      <c r="BY502" s="90"/>
    </row>
    <row r="503" spans="76:77" x14ac:dyDescent="0.25">
      <c r="BX503" s="88"/>
      <c r="BY503" s="90"/>
    </row>
    <row r="504" spans="76:77" x14ac:dyDescent="0.25">
      <c r="BX504" s="88"/>
      <c r="BY504" s="90"/>
    </row>
    <row r="505" spans="76:77" x14ac:dyDescent="0.25">
      <c r="BX505" s="88"/>
      <c r="BY505" s="90"/>
    </row>
    <row r="506" spans="76:77" x14ac:dyDescent="0.25">
      <c r="BX506" s="88"/>
      <c r="BY506" s="90"/>
    </row>
    <row r="507" spans="76:77" x14ac:dyDescent="0.25">
      <c r="BX507" s="88"/>
      <c r="BY507" s="90"/>
    </row>
    <row r="508" spans="76:77" x14ac:dyDescent="0.25">
      <c r="BX508" s="88"/>
      <c r="BY508" s="90"/>
    </row>
    <row r="509" spans="76:77" x14ac:dyDescent="0.25">
      <c r="BX509" s="88"/>
      <c r="BY509" s="90"/>
    </row>
    <row r="510" spans="76:77" x14ac:dyDescent="0.25">
      <c r="BX510" s="88"/>
      <c r="BY510" s="90"/>
    </row>
    <row r="511" spans="76:77" x14ac:dyDescent="0.25">
      <c r="BX511" s="88"/>
      <c r="BY511" s="90"/>
    </row>
    <row r="512" spans="76:77" x14ac:dyDescent="0.25">
      <c r="BX512" s="88"/>
      <c r="BY512" s="90"/>
    </row>
    <row r="513" spans="76:77" x14ac:dyDescent="0.25">
      <c r="BX513" s="88"/>
      <c r="BY513" s="90"/>
    </row>
    <row r="514" spans="76:77" x14ac:dyDescent="0.25">
      <c r="BX514" s="88"/>
      <c r="BY514" s="90"/>
    </row>
    <row r="515" spans="76:77" x14ac:dyDescent="0.25">
      <c r="BX515" s="88"/>
      <c r="BY515" s="90"/>
    </row>
    <row r="516" spans="76:77" x14ac:dyDescent="0.25">
      <c r="BX516" s="88"/>
      <c r="BY516" s="90"/>
    </row>
    <row r="517" spans="76:77" x14ac:dyDescent="0.25">
      <c r="BX517" s="88"/>
      <c r="BY517" s="90"/>
    </row>
    <row r="518" spans="76:77" x14ac:dyDescent="0.25">
      <c r="BX518" s="88"/>
      <c r="BY518" s="90"/>
    </row>
    <row r="519" spans="76:77" x14ac:dyDescent="0.25">
      <c r="BX519" s="88"/>
      <c r="BY519" s="90"/>
    </row>
    <row r="520" spans="76:77" x14ac:dyDescent="0.25">
      <c r="BX520" s="88"/>
      <c r="BY520" s="90"/>
    </row>
    <row r="521" spans="76:77" x14ac:dyDescent="0.25">
      <c r="BX521" s="88"/>
      <c r="BY521" s="90"/>
    </row>
    <row r="522" spans="76:77" x14ac:dyDescent="0.25">
      <c r="BX522" s="88"/>
      <c r="BY522" s="90"/>
    </row>
    <row r="523" spans="76:77" x14ac:dyDescent="0.25">
      <c r="BX523" s="88"/>
      <c r="BY523" s="90"/>
    </row>
    <row r="524" spans="76:77" x14ac:dyDescent="0.25">
      <c r="BX524" s="88"/>
      <c r="BY524" s="90"/>
    </row>
    <row r="525" spans="76:77" x14ac:dyDescent="0.25">
      <c r="BX525" s="88"/>
      <c r="BY525" s="90"/>
    </row>
    <row r="526" spans="76:77" x14ac:dyDescent="0.25">
      <c r="BX526" s="88"/>
      <c r="BY526" s="90"/>
    </row>
    <row r="527" spans="76:77" x14ac:dyDescent="0.25">
      <c r="BX527" s="88"/>
      <c r="BY527" s="91"/>
    </row>
    <row r="528" spans="76:77" x14ac:dyDescent="0.25">
      <c r="BX528" s="88"/>
      <c r="BY528" s="89"/>
    </row>
    <row r="529" spans="76:77" x14ac:dyDescent="0.25">
      <c r="BX529" s="88"/>
      <c r="BY529" s="90"/>
    </row>
    <row r="530" spans="76:77" x14ac:dyDescent="0.25">
      <c r="BX530" s="88"/>
      <c r="BY530" s="90"/>
    </row>
    <row r="531" spans="76:77" x14ac:dyDescent="0.25">
      <c r="BX531" s="88"/>
      <c r="BY531" s="90"/>
    </row>
    <row r="532" spans="76:77" x14ac:dyDescent="0.25">
      <c r="BX532" s="88"/>
      <c r="BY532" s="90"/>
    </row>
    <row r="533" spans="76:77" x14ac:dyDescent="0.25">
      <c r="BX533" s="88"/>
      <c r="BY533" s="90"/>
    </row>
    <row r="534" spans="76:77" x14ac:dyDescent="0.25">
      <c r="BX534" s="88"/>
      <c r="BY534" s="90"/>
    </row>
    <row r="535" spans="76:77" x14ac:dyDescent="0.25">
      <c r="BX535" s="88"/>
      <c r="BY535" s="90"/>
    </row>
    <row r="536" spans="76:77" x14ac:dyDescent="0.25">
      <c r="BX536" s="88"/>
      <c r="BY536" s="90"/>
    </row>
    <row r="537" spans="76:77" x14ac:dyDescent="0.25">
      <c r="BX537" s="88"/>
      <c r="BY537" s="90"/>
    </row>
    <row r="538" spans="76:77" x14ac:dyDescent="0.25">
      <c r="BX538" s="88"/>
      <c r="BY538" s="90"/>
    </row>
    <row r="539" spans="76:77" x14ac:dyDescent="0.25">
      <c r="BX539" s="88"/>
      <c r="BY539" s="90"/>
    </row>
    <row r="540" spans="76:77" x14ac:dyDescent="0.25">
      <c r="BX540" s="88"/>
      <c r="BY540" s="90"/>
    </row>
    <row r="541" spans="76:77" x14ac:dyDescent="0.25">
      <c r="BX541" s="88"/>
      <c r="BY541" s="90"/>
    </row>
    <row r="542" spans="76:77" x14ac:dyDescent="0.25">
      <c r="BX542" s="88"/>
      <c r="BY542" s="90"/>
    </row>
    <row r="543" spans="76:77" x14ac:dyDescent="0.25">
      <c r="BX543" s="88"/>
      <c r="BY543" s="90"/>
    </row>
    <row r="544" spans="76:77" x14ac:dyDescent="0.25">
      <c r="BX544" s="88"/>
      <c r="BY544" s="90"/>
    </row>
    <row r="545" spans="76:77" x14ac:dyDescent="0.25">
      <c r="BX545" s="88"/>
      <c r="BY545" s="90"/>
    </row>
    <row r="546" spans="76:77" x14ac:dyDescent="0.25">
      <c r="BX546" s="88"/>
      <c r="BY546" s="90"/>
    </row>
    <row r="547" spans="76:77" x14ac:dyDescent="0.25">
      <c r="BX547" s="88"/>
      <c r="BY547" s="90"/>
    </row>
    <row r="548" spans="76:77" x14ac:dyDescent="0.25">
      <c r="BX548" s="88"/>
      <c r="BY548" s="90"/>
    </row>
    <row r="549" spans="76:77" x14ac:dyDescent="0.25">
      <c r="BX549" s="88"/>
      <c r="BY549" s="90"/>
    </row>
    <row r="550" spans="76:77" x14ac:dyDescent="0.25">
      <c r="BX550" s="88"/>
      <c r="BY550" s="90"/>
    </row>
    <row r="551" spans="76:77" x14ac:dyDescent="0.25">
      <c r="BX551" s="88"/>
      <c r="BY551" s="90"/>
    </row>
    <row r="552" spans="76:77" x14ac:dyDescent="0.25">
      <c r="BX552" s="88"/>
      <c r="BY552" s="90"/>
    </row>
    <row r="553" spans="76:77" x14ac:dyDescent="0.25">
      <c r="BX553" s="88"/>
      <c r="BY553" s="90"/>
    </row>
    <row r="554" spans="76:77" x14ac:dyDescent="0.25">
      <c r="BX554" s="88"/>
      <c r="BY554" s="90"/>
    </row>
    <row r="555" spans="76:77" x14ac:dyDescent="0.25">
      <c r="BX555" s="88"/>
      <c r="BY555" s="90"/>
    </row>
    <row r="556" spans="76:77" x14ac:dyDescent="0.25">
      <c r="BX556" s="88"/>
      <c r="BY556" s="91"/>
    </row>
    <row r="557" spans="76:77" x14ac:dyDescent="0.25">
      <c r="BX557" s="88"/>
      <c r="BY557" s="89"/>
    </row>
    <row r="558" spans="76:77" x14ac:dyDescent="0.25">
      <c r="BX558" s="88"/>
      <c r="BY558" s="90"/>
    </row>
    <row r="559" spans="76:77" x14ac:dyDescent="0.25">
      <c r="BX559" s="88"/>
      <c r="BY559" s="90"/>
    </row>
    <row r="560" spans="76:77" x14ac:dyDescent="0.25">
      <c r="BX560" s="88"/>
      <c r="BY560" s="90"/>
    </row>
    <row r="561" spans="76:77" x14ac:dyDescent="0.25">
      <c r="BX561" s="88"/>
      <c r="BY561" s="90"/>
    </row>
    <row r="562" spans="76:77" x14ac:dyDescent="0.25">
      <c r="BX562" s="88"/>
      <c r="BY562" s="90"/>
    </row>
    <row r="563" spans="76:77" x14ac:dyDescent="0.25">
      <c r="BX563" s="88"/>
      <c r="BY563" s="90"/>
    </row>
    <row r="564" spans="76:77" x14ac:dyDescent="0.25">
      <c r="BX564" s="88"/>
      <c r="BY564" s="90"/>
    </row>
    <row r="565" spans="76:77" x14ac:dyDescent="0.25">
      <c r="BX565" s="88"/>
      <c r="BY565" s="90"/>
    </row>
    <row r="566" spans="76:77" x14ac:dyDescent="0.25">
      <c r="BX566" s="88"/>
      <c r="BY566" s="90"/>
    </row>
    <row r="567" spans="76:77" x14ac:dyDescent="0.25">
      <c r="BX567" s="88"/>
      <c r="BY567" s="90"/>
    </row>
    <row r="568" spans="76:77" x14ac:dyDescent="0.25">
      <c r="BX568" s="88"/>
      <c r="BY568" s="90"/>
    </row>
    <row r="569" spans="76:77" x14ac:dyDescent="0.25">
      <c r="BX569" s="88"/>
      <c r="BY569" s="90"/>
    </row>
    <row r="570" spans="76:77" x14ac:dyDescent="0.25">
      <c r="BX570" s="88"/>
      <c r="BY570" s="90"/>
    </row>
    <row r="571" spans="76:77" x14ac:dyDescent="0.25">
      <c r="BX571" s="88"/>
      <c r="BY571" s="90"/>
    </row>
    <row r="572" spans="76:77" x14ac:dyDescent="0.25">
      <c r="BX572" s="88"/>
      <c r="BY572" s="90"/>
    </row>
    <row r="573" spans="76:77" x14ac:dyDescent="0.25">
      <c r="BX573" s="88"/>
      <c r="BY573" s="90"/>
    </row>
    <row r="574" spans="76:77" x14ac:dyDescent="0.25">
      <c r="BX574" s="88"/>
      <c r="BY574" s="90"/>
    </row>
    <row r="575" spans="76:77" x14ac:dyDescent="0.25">
      <c r="BX575" s="88"/>
      <c r="BY575" s="90"/>
    </row>
    <row r="576" spans="76:77" x14ac:dyDescent="0.25">
      <c r="BX576" s="88"/>
      <c r="BY576" s="90"/>
    </row>
    <row r="577" spans="76:77" x14ac:dyDescent="0.25">
      <c r="BX577" s="88"/>
      <c r="BY577" s="90"/>
    </row>
    <row r="578" spans="76:77" x14ac:dyDescent="0.25">
      <c r="BX578" s="88"/>
      <c r="BY578" s="90"/>
    </row>
    <row r="579" spans="76:77" x14ac:dyDescent="0.25">
      <c r="BX579" s="88"/>
      <c r="BY579" s="90"/>
    </row>
    <row r="580" spans="76:77" x14ac:dyDescent="0.25">
      <c r="BX580" s="88"/>
      <c r="BY580" s="90"/>
    </row>
    <row r="581" spans="76:77" x14ac:dyDescent="0.25">
      <c r="BX581" s="88"/>
      <c r="BY581" s="90"/>
    </row>
    <row r="582" spans="76:77" x14ac:dyDescent="0.25">
      <c r="BX582" s="88"/>
      <c r="BY582" s="90"/>
    </row>
    <row r="583" spans="76:77" x14ac:dyDescent="0.25">
      <c r="BX583" s="88"/>
      <c r="BY583" s="90"/>
    </row>
    <row r="584" spans="76:77" x14ac:dyDescent="0.25">
      <c r="BX584" s="88"/>
      <c r="BY584" s="90"/>
    </row>
    <row r="585" spans="76:77" x14ac:dyDescent="0.25">
      <c r="BX585" s="88"/>
      <c r="BY585" s="91"/>
    </row>
  </sheetData>
  <mergeCells count="3">
    <mergeCell ref="A2:B2"/>
    <mergeCell ref="F2:T2"/>
    <mergeCell ref="V33:X33"/>
  </mergeCells>
  <conditionalFormatting sqref="AB28">
    <cfRule type="top10" dxfId="11" priority="18" bottom="1" rank="1"/>
  </conditionalFormatting>
  <conditionalFormatting sqref="V28">
    <cfRule type="cellIs" dxfId="10" priority="16" operator="greaterThan">
      <formula>1.222</formula>
    </cfRule>
    <cfRule type="cellIs" dxfId="9" priority="17" operator="greaterThan">
      <formula>0</formula>
    </cfRule>
  </conditionalFormatting>
  <conditionalFormatting sqref="P23">
    <cfRule type="cellIs" dxfId="8" priority="15" operator="lessThan">
      <formula>0</formula>
    </cfRule>
  </conditionalFormatting>
  <conditionalFormatting sqref="O23:O24 O26 P23 O27:P28 P25:P26">
    <cfRule type="cellIs" dxfId="7" priority="14" operator="lessThan">
      <formula>-0.0001</formula>
    </cfRule>
  </conditionalFormatting>
  <conditionalFormatting sqref="O25">
    <cfRule type="cellIs" dxfId="6" priority="13" operator="lessThan">
      <formula>0</formula>
    </cfRule>
  </conditionalFormatting>
  <conditionalFormatting sqref="AB50:AB54">
    <cfRule type="top10" dxfId="5" priority="10" bottom="1" rank="1"/>
  </conditionalFormatting>
  <conditionalFormatting sqref="AB73:AB78">
    <cfRule type="top10" dxfId="4" priority="9" bottom="1" rank="1"/>
  </conditionalFormatting>
  <conditionalFormatting sqref="O12:P12">
    <cfRule type="cellIs" dxfId="3" priority="8" operator="lessThan">
      <formula>0</formula>
    </cfRule>
  </conditionalFormatting>
  <conditionalFormatting sqref="P11">
    <cfRule type="cellIs" dxfId="2" priority="7" operator="lessThan">
      <formula>0</formula>
    </cfRule>
  </conditionalFormatting>
  <conditionalFormatting sqref="K27:K28">
    <cfRule type="cellIs" dxfId="1" priority="6" operator="lessThan">
      <formula>0</formula>
    </cfRule>
  </conditionalFormatting>
  <conditionalFormatting sqref="P22">
    <cfRule type="cellIs" dxfId="0" priority="5" operator="lessThan">
      <formula>0</formula>
    </cfRule>
  </conditionalFormatting>
  <conditionalFormatting sqref="BA7:BR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7:BT3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7:BT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scale="6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3:T50"/>
  <sheetViews>
    <sheetView zoomScaleNormal="100" workbookViewId="0">
      <selection activeCell="AF44" sqref="AF44"/>
    </sheetView>
  </sheetViews>
  <sheetFormatPr defaultColWidth="5.6640625" defaultRowHeight="9.9" customHeight="1" x14ac:dyDescent="0.2"/>
  <cols>
    <col min="1" max="16384" width="5.6640625" style="75"/>
  </cols>
  <sheetData>
    <row r="3" spans="2:20" ht="9.9" customHeight="1" x14ac:dyDescent="0.2">
      <c r="E3" s="76">
        <f>Sheet1!G6</f>
        <v>692.30769230769226</v>
      </c>
      <c r="P3" s="76">
        <f>Sheet1!H6</f>
        <v>1107.6923076923076</v>
      </c>
    </row>
    <row r="6" spans="2:20" ht="9.9" customHeight="1" x14ac:dyDescent="0.2">
      <c r="B6" s="76">
        <f>Sheet1!G15</f>
        <v>276.91167353735733</v>
      </c>
      <c r="E6" s="76">
        <f>Sheet1!G17</f>
        <v>470.76923076923066</v>
      </c>
      <c r="I6" s="77">
        <f>Sheet1!G20</f>
        <v>45.628800481405897</v>
      </c>
      <c r="P6" s="76">
        <f>Sheet1!H17</f>
        <v>753.23076923076917</v>
      </c>
      <c r="T6" s="77">
        <f>Sheet1!H20</f>
        <v>82.80926081203836</v>
      </c>
    </row>
    <row r="7" spans="2:20" ht="9.9" customHeight="1" x14ac:dyDescent="0.2">
      <c r="F7" s="76">
        <f>Sheet1!G16</f>
        <v>193.85755723187333</v>
      </c>
      <c r="M7" s="76">
        <f>Sheet1!H15</f>
        <v>225.96923076923079</v>
      </c>
    </row>
    <row r="8" spans="2:20" ht="9.9" customHeight="1" x14ac:dyDescent="0.2">
      <c r="Q8" s="76">
        <f>Sheet1!H16</f>
        <v>527.26153846153841</v>
      </c>
    </row>
    <row r="10" spans="2:20" ht="9.9" customHeight="1" x14ac:dyDescent="0.2">
      <c r="G10" s="77">
        <f>Sheet1!G21</f>
        <v>32.172938766352416</v>
      </c>
      <c r="R10" s="77">
        <f>Sheet1!H21</f>
        <v>12.6853766061142</v>
      </c>
    </row>
    <row r="12" spans="2:20" ht="9.9" customHeight="1" x14ac:dyDescent="0.2">
      <c r="G12" s="75">
        <f>(Sheet1!G22+Sheet1!B13)*Sheet1!G19</f>
        <v>7.3870971005644108</v>
      </c>
    </row>
    <row r="13" spans="2:20" ht="9.9" customHeight="1" x14ac:dyDescent="0.2">
      <c r="R13" s="75">
        <f>(Sheet1!H22+Sheet1!B14)*Sheet1!H19</f>
        <v>12.808535602290059</v>
      </c>
    </row>
    <row r="19" spans="5:19" ht="9.9" customHeight="1" x14ac:dyDescent="0.2">
      <c r="K19" s="77">
        <f>Sheet1!T22</f>
        <v>16.163789346553799</v>
      </c>
    </row>
    <row r="20" spans="5:19" ht="9.9" customHeight="1" x14ac:dyDescent="0.2">
      <c r="E20" s="77">
        <f>Sheet1!O11</f>
        <v>13.979290627629174</v>
      </c>
      <c r="G20" s="75">
        <f>Sheet1!K26</f>
        <v>25.076544119766254</v>
      </c>
      <c r="I20" s="77">
        <f>Sheet1!O24</f>
        <v>16.163789346553799</v>
      </c>
      <c r="Q20" s="77">
        <f>Sheet1!P26</f>
        <v>0.31889197195387808</v>
      </c>
      <c r="S20" s="77">
        <f>Sheet1!P11</f>
        <v>2.1844987189246217</v>
      </c>
    </row>
    <row r="22" spans="5:19" ht="9.9" customHeight="1" x14ac:dyDescent="0.2">
      <c r="K22" s="77">
        <f>Sheet1!T23</f>
        <v>11.097253492137078</v>
      </c>
    </row>
    <row r="24" spans="5:19" ht="9.9" customHeight="1" x14ac:dyDescent="0.2">
      <c r="N24" s="75">
        <f>Sheet1!K27</f>
        <v>24.757652147812376</v>
      </c>
    </row>
    <row r="25" spans="5:19" ht="9.9" customHeight="1" x14ac:dyDescent="0.2">
      <c r="K25" s="77">
        <f>Sheet1!T27</f>
        <v>5.0665358544167205</v>
      </c>
      <c r="L25" s="75">
        <f>Sheet1!K28</f>
        <v>15.84489737459992</v>
      </c>
      <c r="P25" s="77">
        <f>Sheet1!O25</f>
        <v>8.9127547732124555</v>
      </c>
    </row>
    <row r="28" spans="5:19" ht="9.9" customHeight="1" x14ac:dyDescent="0.2">
      <c r="K28" s="77">
        <f>Sheet1!T24</f>
        <v>8.9127547732124555</v>
      </c>
    </row>
    <row r="31" spans="5:19" ht="9.9" customHeight="1" x14ac:dyDescent="0.2">
      <c r="K31" s="77">
        <f>Sheet1!T26</f>
        <v>8.9127547732124555</v>
      </c>
    </row>
    <row r="34" spans="3:20" ht="9.9" customHeight="1" x14ac:dyDescent="0.2">
      <c r="K34" s="77">
        <f>Sheet1!T21</f>
        <v>16.142482753131958</v>
      </c>
    </row>
    <row r="35" spans="3:20" ht="9.9" customHeight="1" x14ac:dyDescent="0.2">
      <c r="F35" s="77">
        <f>Sheet1!O9</f>
        <v>0.4</v>
      </c>
      <c r="Q35" s="77">
        <f>Sheet1!P9</f>
        <v>0.4</v>
      </c>
      <c r="T35" s="77">
        <f>Sheet1!P10</f>
        <v>3.3221396126978568</v>
      </c>
    </row>
    <row r="36" spans="3:20" ht="9.9" customHeight="1" x14ac:dyDescent="0.2">
      <c r="C36" s="77">
        <f>Sheet1!O10</f>
        <v>3.3221396126978568</v>
      </c>
    </row>
    <row r="37" spans="3:20" ht="9.9" customHeight="1" x14ac:dyDescent="0.2">
      <c r="K37" s="77">
        <f>Sheet1!T20</f>
        <v>12.687009807100768</v>
      </c>
    </row>
    <row r="39" spans="3:20" ht="9.9" customHeight="1" x14ac:dyDescent="0.2">
      <c r="N39" s="77">
        <f>Sheet1!K13</f>
        <v>1.2197688955863353</v>
      </c>
      <c r="R39" s="77">
        <f>Sheet1!P12</f>
        <v>28.239281504874832</v>
      </c>
    </row>
    <row r="40" spans="3:20" ht="9.9" customHeight="1" x14ac:dyDescent="0.2">
      <c r="E40" s="77">
        <f>Sheet1!O12</f>
        <v>16.009149419798625</v>
      </c>
    </row>
    <row r="45" spans="3:20" ht="9.9" customHeight="1" x14ac:dyDescent="0.2">
      <c r="N45" s="77">
        <f>Sheet1!P7</f>
        <v>1.2197688955863353</v>
      </c>
      <c r="P45" s="77">
        <f>Sheet1!P6</f>
        <v>21.342722123980309</v>
      </c>
    </row>
    <row r="46" spans="3:20" ht="9.9" customHeight="1" x14ac:dyDescent="0.2">
      <c r="K46" s="77">
        <f>Sheet1!T19</f>
        <v>4.7437064435791108</v>
      </c>
      <c r="T46" s="77">
        <f>Sheet1!K11</f>
        <v>37.604151699277743</v>
      </c>
    </row>
    <row r="50" spans="17:17" ht="9.9" customHeight="1" x14ac:dyDescent="0.2">
      <c r="Q50" s="77">
        <f>Sheet1!K12</f>
        <v>22.562491019566643</v>
      </c>
    </row>
  </sheetData>
  <pageMargins left="0.7" right="0.7" top="0.75" bottom="0.75" header="0.3" footer="0.3"/>
  <pageSetup paperSize="9" scale="9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467B-FF06-49E0-A598-C0C17032211A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Bellasio</dc:creator>
  <cp:lastModifiedBy>uib</cp:lastModifiedBy>
  <cp:lastPrinted>2018-03-22T23:41:32Z</cp:lastPrinted>
  <dcterms:created xsi:type="dcterms:W3CDTF">2018-03-01T01:19:21Z</dcterms:created>
  <dcterms:modified xsi:type="dcterms:W3CDTF">2022-06-25T11:53:43Z</dcterms:modified>
</cp:coreProperties>
</file>